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MDWS\Documents\"/>
    </mc:Choice>
  </mc:AlternateContent>
  <xr:revisionPtr revIDLastSave="0" documentId="8_{E315A4F6-3087-48D3-8BAB-2FCD460EE3AE}" xr6:coauthVersionLast="31" xr6:coauthVersionMax="31" xr10:uidLastSave="{00000000-0000-0000-0000-000000000000}"/>
  <bookViews>
    <workbookView xWindow="0" yWindow="0" windowWidth="25605" windowHeight="16065" firstSheet="1" activeTab="1" xr2:uid="{00000000-000D-0000-FFFF-FFFF00000000}"/>
  </bookViews>
  <sheets>
    <sheet name="Consign" sheetId="4" r:id="rId1"/>
    <sheet name="Report" sheetId="1" r:id="rId2"/>
    <sheet name="Summary" sheetId="2" state="hidden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state="hidden" r:id="rId12"/>
    <sheet name="RFI" sheetId="29" r:id="rId13"/>
    <sheet name="Sale Order" sheetId="30" state="hidden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Report!$A$1:$AG$102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6" i="1" l="1"/>
  <c r="S89" i="1"/>
  <c r="AJ2" i="1"/>
  <c r="AL2" i="1"/>
  <c r="S57" i="1"/>
  <c r="S58" i="1"/>
  <c r="S46" i="1"/>
  <c r="S47" i="1"/>
  <c r="S48" i="1"/>
  <c r="S8" i="1"/>
  <c r="S9" i="1"/>
  <c r="S7" i="1"/>
  <c r="A9" i="5"/>
  <c r="A8" i="5"/>
  <c r="S54" i="1"/>
  <c r="S53" i="1"/>
  <c r="S78" i="1"/>
  <c r="P8" i="1"/>
  <c r="V8" i="1"/>
  <c r="T57" i="1"/>
  <c r="U57" i="1"/>
  <c r="T46" i="1"/>
  <c r="T47" i="1"/>
  <c r="T48" i="1"/>
  <c r="U46" i="1"/>
  <c r="U47" i="1"/>
  <c r="U48" i="1"/>
  <c r="A2" i="1"/>
  <c r="P3" i="1"/>
  <c r="P88" i="1"/>
  <c r="V88" i="1"/>
  <c r="P86" i="1"/>
  <c r="V86" i="1"/>
  <c r="P87" i="1"/>
  <c r="V87" i="1"/>
  <c r="V89" i="1"/>
  <c r="W88" i="1"/>
  <c r="W87" i="1"/>
  <c r="W86" i="1"/>
  <c r="T86" i="1"/>
  <c r="T87" i="1"/>
  <c r="T88" i="1"/>
  <c r="T89" i="1"/>
  <c r="U86" i="1"/>
  <c r="T53" i="1"/>
  <c r="T54" i="1"/>
  <c r="T55" i="1"/>
  <c r="U53" i="1"/>
  <c r="U54" i="1"/>
  <c r="U55" i="1"/>
  <c r="T50" i="1"/>
  <c r="T51" i="1"/>
  <c r="U50" i="1"/>
  <c r="U51" i="1"/>
  <c r="T37" i="1"/>
  <c r="T38" i="1"/>
  <c r="T39" i="1"/>
  <c r="T40" i="1"/>
  <c r="T41" i="1"/>
  <c r="T42" i="1"/>
  <c r="T43" i="1"/>
  <c r="T44" i="1"/>
  <c r="U37" i="1"/>
  <c r="U38" i="1"/>
  <c r="U39" i="1"/>
  <c r="U40" i="1"/>
  <c r="U41" i="1"/>
  <c r="U42" i="1"/>
  <c r="U43" i="1"/>
  <c r="U4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S99" i="1"/>
  <c r="S100" i="1"/>
  <c r="S98" i="1"/>
  <c r="S95" i="1"/>
  <c r="S94" i="1"/>
  <c r="S96" i="1"/>
  <c r="S91" i="1"/>
  <c r="S87" i="1"/>
  <c r="S88" i="1"/>
  <c r="S86" i="1"/>
  <c r="S81" i="1"/>
  <c r="S82" i="1"/>
  <c r="S83" i="1"/>
  <c r="S70" i="1"/>
  <c r="S64" i="1"/>
  <c r="S65" i="1"/>
  <c r="S66" i="1"/>
  <c r="S67" i="1"/>
  <c r="S68" i="1"/>
  <c r="S69" i="1"/>
  <c r="S71" i="1"/>
  <c r="S72" i="1"/>
  <c r="S73" i="1"/>
  <c r="S74" i="1"/>
  <c r="S75" i="1"/>
  <c r="S76" i="1"/>
  <c r="S77" i="1"/>
  <c r="S63" i="1"/>
  <c r="S60" i="1"/>
  <c r="S50" i="1"/>
  <c r="S43" i="1"/>
  <c r="S29" i="1"/>
  <c r="S30" i="1"/>
  <c r="S31" i="1"/>
  <c r="S32" i="1"/>
  <c r="S33" i="1"/>
  <c r="S34" i="1"/>
  <c r="S6" i="1"/>
  <c r="P6" i="1"/>
  <c r="V6" i="1"/>
  <c r="AF6" i="1"/>
  <c r="AI6" i="1"/>
  <c r="AL6" i="1"/>
  <c r="P7" i="1"/>
  <c r="V7" i="1"/>
  <c r="AF7" i="1"/>
  <c r="AI7" i="1"/>
  <c r="AK7" i="1"/>
  <c r="AF8" i="1"/>
  <c r="AI8" i="1"/>
  <c r="P9" i="1"/>
  <c r="V9" i="1"/>
  <c r="AF9" i="1"/>
  <c r="AI9" i="1"/>
  <c r="AK9" i="1"/>
  <c r="S10" i="1"/>
  <c r="P10" i="1"/>
  <c r="V10" i="1"/>
  <c r="AF10" i="1"/>
  <c r="AI10" i="1"/>
  <c r="S11" i="1"/>
  <c r="P11" i="1"/>
  <c r="V11" i="1"/>
  <c r="AF11" i="1"/>
  <c r="AI11" i="1"/>
  <c r="AM11" i="1"/>
  <c r="S12" i="1"/>
  <c r="P12" i="1"/>
  <c r="V12" i="1"/>
  <c r="AF12" i="1"/>
  <c r="AI12" i="1"/>
  <c r="AL12" i="1"/>
  <c r="AK12" i="1"/>
  <c r="S13" i="1"/>
  <c r="P13" i="1"/>
  <c r="V13" i="1"/>
  <c r="AF13" i="1"/>
  <c r="AI13" i="1"/>
  <c r="AK13" i="1"/>
  <c r="AL13" i="1"/>
  <c r="AM13" i="1"/>
  <c r="S14" i="1"/>
  <c r="P14" i="1"/>
  <c r="V14" i="1"/>
  <c r="AF14" i="1"/>
  <c r="AI14" i="1"/>
  <c r="AL14" i="1"/>
  <c r="AK14" i="1"/>
  <c r="S15" i="1"/>
  <c r="P15" i="1"/>
  <c r="V15" i="1"/>
  <c r="AF15" i="1"/>
  <c r="AI15" i="1"/>
  <c r="AL15" i="1"/>
  <c r="S16" i="1"/>
  <c r="P16" i="1"/>
  <c r="V16" i="1"/>
  <c r="AF16" i="1"/>
  <c r="AI16" i="1"/>
  <c r="AK16" i="1"/>
  <c r="S17" i="1"/>
  <c r="P17" i="1"/>
  <c r="V17" i="1"/>
  <c r="AF17" i="1"/>
  <c r="AI17" i="1"/>
  <c r="S18" i="1"/>
  <c r="P18" i="1"/>
  <c r="V18" i="1"/>
  <c r="AF18" i="1"/>
  <c r="AI18" i="1"/>
  <c r="AL18" i="1"/>
  <c r="AK18" i="1"/>
  <c r="S19" i="1"/>
  <c r="P19" i="1"/>
  <c r="V19" i="1"/>
  <c r="AF19" i="1"/>
  <c r="AI19" i="1"/>
  <c r="AK19" i="1"/>
  <c r="AL19" i="1"/>
  <c r="AM19" i="1"/>
  <c r="S20" i="1"/>
  <c r="P20" i="1"/>
  <c r="V20" i="1"/>
  <c r="AF20" i="1"/>
  <c r="AI20" i="1"/>
  <c r="AL20" i="1"/>
  <c r="AK20" i="1"/>
  <c r="S21" i="1"/>
  <c r="P21" i="1"/>
  <c r="V21" i="1"/>
  <c r="AF21" i="1"/>
  <c r="AI21" i="1"/>
  <c r="AK21" i="1"/>
  <c r="AL21" i="1"/>
  <c r="AM21" i="1"/>
  <c r="S22" i="1"/>
  <c r="P22" i="1"/>
  <c r="V22" i="1"/>
  <c r="AF22" i="1"/>
  <c r="AI22" i="1"/>
  <c r="AK22" i="1"/>
  <c r="AL22" i="1"/>
  <c r="S23" i="1"/>
  <c r="P23" i="1"/>
  <c r="V23" i="1"/>
  <c r="AF23" i="1"/>
  <c r="AI23" i="1"/>
  <c r="S24" i="1"/>
  <c r="P24" i="1"/>
  <c r="V24" i="1"/>
  <c r="AF24" i="1"/>
  <c r="AI24" i="1"/>
  <c r="S25" i="1"/>
  <c r="P25" i="1"/>
  <c r="V25" i="1"/>
  <c r="AF25" i="1"/>
  <c r="AI25" i="1"/>
  <c r="AM25" i="1"/>
  <c r="S26" i="1"/>
  <c r="P26" i="1"/>
  <c r="V26" i="1"/>
  <c r="AF26" i="1"/>
  <c r="AI26" i="1"/>
  <c r="AL26" i="1"/>
  <c r="AK26" i="1"/>
  <c r="S27" i="1"/>
  <c r="P27" i="1"/>
  <c r="V27" i="1"/>
  <c r="AF27" i="1"/>
  <c r="AI27" i="1"/>
  <c r="AK27" i="1"/>
  <c r="AL27" i="1"/>
  <c r="AM27" i="1"/>
  <c r="S28" i="1"/>
  <c r="P28" i="1"/>
  <c r="V28" i="1"/>
  <c r="AF28" i="1"/>
  <c r="AI28" i="1"/>
  <c r="AL28" i="1"/>
  <c r="AK28" i="1"/>
  <c r="P29" i="1"/>
  <c r="V29" i="1"/>
  <c r="AF29" i="1"/>
  <c r="AI29" i="1"/>
  <c r="AK29" i="1"/>
  <c r="P30" i="1"/>
  <c r="V30" i="1"/>
  <c r="AF30" i="1"/>
  <c r="AI30" i="1"/>
  <c r="P31" i="1"/>
  <c r="V31" i="1"/>
  <c r="AF31" i="1"/>
  <c r="AI31" i="1"/>
  <c r="AM31" i="1"/>
  <c r="P32" i="1"/>
  <c r="V32" i="1"/>
  <c r="AF32" i="1"/>
  <c r="AI32" i="1"/>
  <c r="AL32" i="1"/>
  <c r="P33" i="1"/>
  <c r="V33" i="1"/>
  <c r="AF33" i="1"/>
  <c r="AI33" i="1"/>
  <c r="AK33" i="1"/>
  <c r="P34" i="1"/>
  <c r="V34" i="1"/>
  <c r="AF34" i="1"/>
  <c r="AI34" i="1"/>
  <c r="AM34" i="1"/>
  <c r="R48" i="1"/>
  <c r="AM33" i="1"/>
  <c r="AM20" i="1"/>
  <c r="AM18" i="1"/>
  <c r="AM12" i="1"/>
  <c r="AM29" i="1"/>
  <c r="AL33" i="1"/>
  <c r="AM28" i="1"/>
  <c r="AM26" i="1"/>
  <c r="AM22" i="1"/>
  <c r="AM14" i="1"/>
  <c r="P57" i="1"/>
  <c r="V57" i="1"/>
  <c r="W57" i="1"/>
  <c r="P72" i="1"/>
  <c r="V72" i="1"/>
  <c r="P71" i="1"/>
  <c r="V71" i="1"/>
  <c r="P91" i="1"/>
  <c r="V91" i="1"/>
  <c r="B92" i="1"/>
  <c r="B61" i="1"/>
  <c r="R89" i="1"/>
  <c r="Q61" i="1"/>
  <c r="P60" i="1"/>
  <c r="Q35" i="1"/>
  <c r="M35" i="1"/>
  <c r="Q55" i="1"/>
  <c r="M58" i="1"/>
  <c r="L58" i="1"/>
  <c r="K58" i="1"/>
  <c r="R92" i="1"/>
  <c r="Q92" i="1"/>
  <c r="P92" i="1"/>
  <c r="O92" i="1"/>
  <c r="L92" i="1"/>
  <c r="L89" i="1"/>
  <c r="K89" i="1"/>
  <c r="P63" i="1"/>
  <c r="P64" i="1"/>
  <c r="P65" i="1"/>
  <c r="P66" i="1"/>
  <c r="V66" i="1"/>
  <c r="P67" i="1"/>
  <c r="V67" i="1"/>
  <c r="P68" i="1"/>
  <c r="P69" i="1"/>
  <c r="P73" i="1"/>
  <c r="V73" i="1"/>
  <c r="P74" i="1"/>
  <c r="V74" i="1"/>
  <c r="P75" i="1"/>
  <c r="P76" i="1"/>
  <c r="P77" i="1"/>
  <c r="P78" i="1"/>
  <c r="V78" i="1"/>
  <c r="K79" i="1"/>
  <c r="L79" i="1"/>
  <c r="O79" i="1"/>
  <c r="Q79" i="1"/>
  <c r="R79" i="1"/>
  <c r="R58" i="1"/>
  <c r="R51" i="1"/>
  <c r="R61" i="1"/>
  <c r="P58" i="1"/>
  <c r="P53" i="1"/>
  <c r="P54" i="1"/>
  <c r="V54" i="1"/>
  <c r="R55" i="1"/>
  <c r="P46" i="1"/>
  <c r="P47" i="1"/>
  <c r="V47" i="1"/>
  <c r="L48" i="1"/>
  <c r="K48" i="1"/>
  <c r="K35" i="1"/>
  <c r="O44" i="1"/>
  <c r="R35" i="1"/>
  <c r="P35" i="1"/>
  <c r="O35" i="1"/>
  <c r="O61" i="1"/>
  <c r="L61" i="1"/>
  <c r="K61" i="1"/>
  <c r="L35" i="1"/>
  <c r="T72" i="1"/>
  <c r="K44" i="1"/>
  <c r="B44" i="1"/>
  <c r="R44" i="1"/>
  <c r="P59" i="1"/>
  <c r="V59" i="1"/>
  <c r="W59" i="1"/>
  <c r="T59" i="1"/>
  <c r="T58" i="1"/>
  <c r="T60" i="1"/>
  <c r="T61" i="1"/>
  <c r="S59" i="1"/>
  <c r="S61" i="1"/>
  <c r="T64" i="1"/>
  <c r="T65" i="1"/>
  <c r="T67" i="1"/>
  <c r="T68" i="1"/>
  <c r="T69" i="1"/>
  <c r="T71" i="1"/>
  <c r="T73" i="1"/>
  <c r="T74" i="1"/>
  <c r="T75" i="1"/>
  <c r="T76" i="1"/>
  <c r="T77" i="1"/>
  <c r="T78" i="1"/>
  <c r="T63" i="1"/>
  <c r="T66" i="1"/>
  <c r="T70" i="1"/>
  <c r="T81" i="1"/>
  <c r="T82" i="1"/>
  <c r="T83" i="1"/>
  <c r="P90" i="1"/>
  <c r="V90" i="1"/>
  <c r="W90" i="1"/>
  <c r="V92" i="1"/>
  <c r="U87" i="1"/>
  <c r="T90" i="1"/>
  <c r="T91" i="1"/>
  <c r="T92" i="1"/>
  <c r="S90" i="1"/>
  <c r="S92" i="1"/>
  <c r="T94" i="1"/>
  <c r="T95" i="1"/>
  <c r="T98" i="1"/>
  <c r="T99" i="1"/>
  <c r="T100" i="1"/>
  <c r="V68" i="1"/>
  <c r="V69" i="1"/>
  <c r="P70" i="1"/>
  <c r="V70" i="1"/>
  <c r="P81" i="1"/>
  <c r="V81" i="1"/>
  <c r="P82" i="1"/>
  <c r="P83" i="1"/>
  <c r="V83" i="1"/>
  <c r="B84" i="1"/>
  <c r="K84" i="1"/>
  <c r="L84" i="1"/>
  <c r="O84" i="1"/>
  <c r="Q84" i="1"/>
  <c r="R84" i="1"/>
  <c r="K92" i="1"/>
  <c r="P94" i="1"/>
  <c r="V94" i="1"/>
  <c r="P95" i="1"/>
  <c r="V95" i="1"/>
  <c r="B96" i="1"/>
  <c r="K96" i="1"/>
  <c r="L96" i="1"/>
  <c r="O96" i="1"/>
  <c r="Q96" i="1"/>
  <c r="R96" i="1"/>
  <c r="P37" i="1"/>
  <c r="V37" i="1"/>
  <c r="S37" i="1"/>
  <c r="P38" i="1"/>
  <c r="V38" i="1"/>
  <c r="P39" i="1"/>
  <c r="V39" i="1"/>
  <c r="P40" i="1"/>
  <c r="V40" i="1"/>
  <c r="P41" i="1"/>
  <c r="V41" i="1"/>
  <c r="P42" i="1"/>
  <c r="V42" i="1"/>
  <c r="P43" i="1"/>
  <c r="V43" i="1"/>
  <c r="S38" i="1"/>
  <c r="S39" i="1"/>
  <c r="S40" i="1"/>
  <c r="S41" i="1"/>
  <c r="S42" i="1"/>
  <c r="L44" i="1"/>
  <c r="Q44" i="1"/>
  <c r="V46" i="1"/>
  <c r="P50" i="1"/>
  <c r="V50" i="1"/>
  <c r="P100" i="1"/>
  <c r="V100" i="1"/>
  <c r="P98" i="1"/>
  <c r="V98" i="1"/>
  <c r="P99" i="1"/>
  <c r="V99" i="1"/>
  <c r="V58" i="1"/>
  <c r="S55" i="1"/>
  <c r="V53" i="1"/>
  <c r="V77" i="1"/>
  <c r="V76" i="1"/>
  <c r="V75" i="1"/>
  <c r="V65" i="1"/>
  <c r="V64" i="1"/>
  <c r="AG6" i="28"/>
  <c r="AJ6" i="28"/>
  <c r="AN6" i="28"/>
  <c r="AG7" i="28"/>
  <c r="AJ7" i="28"/>
  <c r="AM7" i="28"/>
  <c r="AL7" i="28"/>
  <c r="AN7" i="28"/>
  <c r="AG8" i="28"/>
  <c r="AJ8" i="28"/>
  <c r="AL8" i="28"/>
  <c r="AM8" i="28"/>
  <c r="AG9" i="28"/>
  <c r="AJ9" i="28"/>
  <c r="AN9" i="28"/>
  <c r="AM9" i="28"/>
  <c r="AL9" i="28"/>
  <c r="AG10" i="28"/>
  <c r="AJ10" i="28"/>
  <c r="AM10" i="28"/>
  <c r="AN10" i="28"/>
  <c r="AG11" i="28"/>
  <c r="AJ11" i="28"/>
  <c r="AN11" i="28"/>
  <c r="AL11" i="28"/>
  <c r="AM11" i="28"/>
  <c r="AG12" i="28"/>
  <c r="AJ12" i="28"/>
  <c r="AL12" i="28"/>
  <c r="AG13" i="28"/>
  <c r="AJ13" i="28"/>
  <c r="AG14" i="28"/>
  <c r="AJ14" i="28"/>
  <c r="AG15" i="28"/>
  <c r="AJ15" i="28"/>
  <c r="AL15" i="28"/>
  <c r="AG16" i="28"/>
  <c r="AJ16" i="28"/>
  <c r="AG17" i="28"/>
  <c r="AJ17" i="28"/>
  <c r="AN17" i="28"/>
  <c r="AG18" i="28"/>
  <c r="AJ18" i="28"/>
  <c r="AN18" i="28"/>
  <c r="AG19" i="28"/>
  <c r="AJ19" i="28"/>
  <c r="AG20" i="28"/>
  <c r="AJ20" i="28"/>
  <c r="AL20" i="28"/>
  <c r="AM20" i="28"/>
  <c r="AG21" i="28"/>
  <c r="AJ21" i="28"/>
  <c r="AM21" i="28"/>
  <c r="AL21" i="28"/>
  <c r="AN21" i="28"/>
  <c r="AG22" i="28"/>
  <c r="AJ22" i="28"/>
  <c r="AN22" i="28"/>
  <c r="AG23" i="28"/>
  <c r="AJ23" i="28"/>
  <c r="AL23" i="28"/>
  <c r="AM23" i="28"/>
  <c r="AN23" i="28"/>
  <c r="AG24" i="28"/>
  <c r="AJ24" i="28"/>
  <c r="AL24" i="28"/>
  <c r="AM24" i="28"/>
  <c r="AG25" i="28"/>
  <c r="AJ25" i="28"/>
  <c r="AN25" i="28"/>
  <c r="AM25" i="28"/>
  <c r="AL25" i="28"/>
  <c r="AG26" i="28"/>
  <c r="AJ26" i="28"/>
  <c r="AG27" i="28"/>
  <c r="AJ27" i="28"/>
  <c r="AL27" i="28"/>
  <c r="AM27" i="28"/>
  <c r="AN27" i="28"/>
  <c r="AG28" i="28"/>
  <c r="AJ28" i="28"/>
  <c r="AG29" i="28"/>
  <c r="AJ29" i="28"/>
  <c r="AN29" i="28"/>
  <c r="AG30" i="28"/>
  <c r="AJ30" i="28"/>
  <c r="AM30" i="28"/>
  <c r="AG31" i="28"/>
  <c r="AJ31" i="28"/>
  <c r="AN31" i="28"/>
  <c r="AG32" i="28"/>
  <c r="AJ32" i="28"/>
  <c r="AM32" i="28"/>
  <c r="AG33" i="28"/>
  <c r="AJ33" i="28"/>
  <c r="AN33" i="28"/>
  <c r="AG34" i="28"/>
  <c r="AJ34" i="28"/>
  <c r="AM34" i="28"/>
  <c r="AG35" i="28"/>
  <c r="AJ35" i="28"/>
  <c r="AN35" i="28"/>
  <c r="AG36" i="28"/>
  <c r="AJ36" i="28"/>
  <c r="AM36" i="28"/>
  <c r="AG37" i="28"/>
  <c r="AJ37" i="28"/>
  <c r="AN37" i="28"/>
  <c r="AG38" i="28"/>
  <c r="AJ38" i="28"/>
  <c r="AM38" i="28"/>
  <c r="AG39" i="28"/>
  <c r="AJ39" i="28"/>
  <c r="AN39" i="28"/>
  <c r="AG40" i="28"/>
  <c r="AJ40" i="28"/>
  <c r="AM40" i="28"/>
  <c r="AG41" i="28"/>
  <c r="AG42" i="28"/>
  <c r="AG45" i="28"/>
  <c r="AJ45" i="28"/>
  <c r="AM45" i="28"/>
  <c r="AN45" i="28"/>
  <c r="AL45" i="28"/>
  <c r="AG46" i="28"/>
  <c r="AJ46" i="28"/>
  <c r="AL46" i="28"/>
  <c r="AM46" i="28"/>
  <c r="AG47" i="28"/>
  <c r="AJ47" i="28"/>
  <c r="AL47" i="28"/>
  <c r="AG48" i="28"/>
  <c r="AJ48" i="28"/>
  <c r="AN48" i="28"/>
  <c r="AL48" i="28"/>
  <c r="AM48" i="28"/>
  <c r="AG49" i="28"/>
  <c r="AJ49" i="28"/>
  <c r="AN49" i="28"/>
  <c r="AG50" i="28"/>
  <c r="AJ50" i="28"/>
  <c r="AG51" i="28"/>
  <c r="AJ51" i="28"/>
  <c r="AG52" i="28"/>
  <c r="AG53" i="28"/>
  <c r="AJ53" i="28"/>
  <c r="AM53" i="28"/>
  <c r="AG54" i="28"/>
  <c r="AJ54" i="28"/>
  <c r="AM54" i="28"/>
  <c r="AL54" i="28"/>
  <c r="AG55" i="28"/>
  <c r="AJ55" i="28"/>
  <c r="AL55" i="28"/>
  <c r="AG56" i="28"/>
  <c r="AJ56" i="28"/>
  <c r="AN56" i="28"/>
  <c r="AG57" i="28"/>
  <c r="AJ57" i="28"/>
  <c r="AN57" i="28"/>
  <c r="AL57" i="28"/>
  <c r="AM57" i="28"/>
  <c r="AG58" i="28"/>
  <c r="AJ58" i="28"/>
  <c r="AM58" i="28"/>
  <c r="AL58" i="28"/>
  <c r="AG59" i="28"/>
  <c r="AJ59" i="28"/>
  <c r="AL59" i="28"/>
  <c r="AG60" i="28"/>
  <c r="AJ60" i="28"/>
  <c r="AL60" i="28"/>
  <c r="AM60" i="28"/>
  <c r="AN60" i="28"/>
  <c r="AG61" i="28"/>
  <c r="AJ61" i="28"/>
  <c r="AM61" i="28"/>
  <c r="AN61" i="28"/>
  <c r="AL61" i="28"/>
  <c r="AG62" i="28"/>
  <c r="AJ62" i="28"/>
  <c r="AM62" i="28"/>
  <c r="AG63" i="28"/>
  <c r="AJ63" i="28"/>
  <c r="AN63" i="28"/>
  <c r="AL63" i="28"/>
  <c r="AG64" i="28"/>
  <c r="AJ64" i="28"/>
  <c r="AN64" i="28"/>
  <c r="AL64" i="28"/>
  <c r="AM64" i="28"/>
  <c r="AG67" i="28"/>
  <c r="AJ67" i="28"/>
  <c r="AN67" i="28"/>
  <c r="AG70" i="28"/>
  <c r="AJ70" i="28"/>
  <c r="AN70" i="28"/>
  <c r="AG73" i="28"/>
  <c r="AJ73" i="28"/>
  <c r="AN73" i="28"/>
  <c r="AG76" i="28"/>
  <c r="AJ76" i="28"/>
  <c r="AL76" i="28"/>
  <c r="AG77" i="28"/>
  <c r="AJ77" i="28"/>
  <c r="AG78" i="28"/>
  <c r="AJ78" i="28"/>
  <c r="AL78" i="28"/>
  <c r="AG81" i="28"/>
  <c r="AJ81" i="28"/>
  <c r="AL81" i="28"/>
  <c r="AG82" i="28"/>
  <c r="AG83" i="28"/>
  <c r="AJ83" i="28"/>
  <c r="AL83" i="28"/>
  <c r="AN83" i="28"/>
  <c r="AG86" i="28"/>
  <c r="AJ86" i="28"/>
  <c r="AL86" i="28"/>
  <c r="AG87" i="28"/>
  <c r="AJ87" i="28"/>
  <c r="AL87" i="28"/>
  <c r="AG88" i="28"/>
  <c r="AJ88" i="28"/>
  <c r="AL88" i="28"/>
  <c r="AG89" i="28"/>
  <c r="AJ89" i="28"/>
  <c r="AL89" i="28"/>
  <c r="AG90" i="28"/>
  <c r="AG91" i="28"/>
  <c r="AG94" i="28"/>
  <c r="AJ94" i="28"/>
  <c r="AN94" i="28"/>
  <c r="AL94" i="28"/>
  <c r="AG97" i="28"/>
  <c r="AJ97" i="28"/>
  <c r="AL97" i="28"/>
  <c r="AN97" i="28"/>
  <c r="AG98" i="28"/>
  <c r="AJ98" i="28"/>
  <c r="AL98" i="28"/>
  <c r="AM98" i="28"/>
  <c r="AN98" i="28"/>
  <c r="AG99" i="28"/>
  <c r="AJ99" i="28"/>
  <c r="AL99" i="28"/>
  <c r="AM99" i="28"/>
  <c r="AG102" i="28"/>
  <c r="AJ102" i="28"/>
  <c r="AL102" i="28"/>
  <c r="AL32" i="28"/>
  <c r="AN32" i="28"/>
  <c r="AL36" i="28"/>
  <c r="AN36" i="28"/>
  <c r="AN34" i="28"/>
  <c r="AL34" i="28"/>
  <c r="AL28" i="28"/>
  <c r="AN28" i="28"/>
  <c r="AN30" i="28"/>
  <c r="AL30" i="28"/>
  <c r="AL40" i="28"/>
  <c r="AN40" i="28"/>
  <c r="AN38" i="28"/>
  <c r="AL38" i="28"/>
  <c r="AM28" i="28"/>
  <c r="AM22" i="28"/>
  <c r="AM18" i="28"/>
  <c r="AM6" i="28"/>
  <c r="AN24" i="28"/>
  <c r="AL22" i="28"/>
  <c r="AN20" i="28"/>
  <c r="AL18" i="28"/>
  <c r="AL10" i="28"/>
  <c r="AN8" i="28"/>
  <c r="AL6" i="28"/>
  <c r="AN59" i="28"/>
  <c r="AN51" i="28"/>
  <c r="AM63" i="28"/>
  <c r="AM59" i="28"/>
  <c r="AN58" i="28"/>
  <c r="AM55" i="28"/>
  <c r="AN54" i="28"/>
  <c r="AM47" i="28"/>
  <c r="AN46" i="28"/>
  <c r="AN55" i="28"/>
  <c r="AN47" i="28"/>
  <c r="AN78" i="28"/>
  <c r="AN76" i="28"/>
  <c r="AN81" i="28"/>
  <c r="AN89" i="28"/>
  <c r="AN88" i="28"/>
  <c r="AN87" i="28"/>
  <c r="AN86" i="28"/>
  <c r="AM97" i="28"/>
  <c r="AN99" i="28"/>
  <c r="AN102" i="28"/>
  <c r="AM102" i="28"/>
  <c r="B79" i="1"/>
  <c r="B13" i="2"/>
  <c r="D13" i="2"/>
  <c r="C13" i="2"/>
  <c r="AI43" i="1"/>
  <c r="AM43" i="1"/>
  <c r="AI42" i="1"/>
  <c r="AK42" i="1"/>
  <c r="AI46" i="1"/>
  <c r="AM46" i="1"/>
  <c r="AF46" i="1"/>
  <c r="AA92" i="1"/>
  <c r="Z92" i="1"/>
  <c r="Y92" i="1"/>
  <c r="X92" i="1"/>
  <c r="AI86" i="1"/>
  <c r="AK86" i="1"/>
  <c r="AF86" i="1"/>
  <c r="AA96" i="1"/>
  <c r="Z96" i="1"/>
  <c r="Y96" i="1"/>
  <c r="X96" i="1"/>
  <c r="AI94" i="1"/>
  <c r="AM94" i="1"/>
  <c r="AF94" i="1"/>
  <c r="AI83" i="1"/>
  <c r="AM83" i="1"/>
  <c r="AI82" i="1"/>
  <c r="AK82" i="1"/>
  <c r="AI81" i="1"/>
  <c r="AK81" i="1"/>
  <c r="AI70" i="1"/>
  <c r="AM70" i="1"/>
  <c r="AI63" i="1"/>
  <c r="AM63" i="1"/>
  <c r="AF63" i="1"/>
  <c r="AI58" i="1"/>
  <c r="AM58" i="1"/>
  <c r="AI57" i="1"/>
  <c r="AM57" i="1"/>
  <c r="B101" i="1"/>
  <c r="K101" i="1"/>
  <c r="L101" i="1"/>
  <c r="O101" i="1"/>
  <c r="Q101" i="1"/>
  <c r="R101" i="1"/>
  <c r="F12" i="2"/>
  <c r="F13" i="2"/>
  <c r="E12" i="2"/>
  <c r="E13" i="2"/>
  <c r="G12" i="2"/>
  <c r="G13" i="2"/>
  <c r="H12" i="2"/>
  <c r="H13" i="2"/>
  <c r="B55" i="1"/>
  <c r="K55" i="1"/>
  <c r="L55" i="1"/>
  <c r="M55" i="1"/>
  <c r="O55" i="1"/>
  <c r="X35" i="1"/>
  <c r="L4" i="2"/>
  <c r="Y35" i="1"/>
  <c r="M4" i="2"/>
  <c r="Z35" i="1"/>
  <c r="N4" i="2"/>
  <c r="AA35" i="1"/>
  <c r="O4" i="2"/>
  <c r="X84" i="1"/>
  <c r="L10" i="2"/>
  <c r="O12" i="2"/>
  <c r="AA44" i="1"/>
  <c r="AB40" i="1"/>
  <c r="Z44" i="1"/>
  <c r="N5" i="2"/>
  <c r="Y44" i="1"/>
  <c r="M5" i="2"/>
  <c r="X44" i="1"/>
  <c r="L5" i="2"/>
  <c r="N8" i="2"/>
  <c r="M8" i="2"/>
  <c r="L8" i="2"/>
  <c r="B51" i="1"/>
  <c r="M51" i="1"/>
  <c r="AA101" i="1"/>
  <c r="O11" i="2"/>
  <c r="O5" i="2"/>
  <c r="O7" i="2"/>
  <c r="AA51" i="1"/>
  <c r="O6" i="2"/>
  <c r="O8" i="2"/>
  <c r="AA79" i="1"/>
  <c r="O9" i="2"/>
  <c r="O10" i="2"/>
  <c r="O13" i="2"/>
  <c r="K51" i="1"/>
  <c r="L51" i="1"/>
  <c r="O51" i="1"/>
  <c r="Q51" i="1"/>
  <c r="L6" i="2"/>
  <c r="X101" i="1"/>
  <c r="L11" i="2"/>
  <c r="Y101" i="1"/>
  <c r="M11" i="2"/>
  <c r="Z84" i="1"/>
  <c r="N10" i="2"/>
  <c r="A10" i="2"/>
  <c r="M10" i="2"/>
  <c r="AF74" i="1"/>
  <c r="AI53" i="1"/>
  <c r="AM53" i="1"/>
  <c r="AI50" i="1"/>
  <c r="AM50" i="1"/>
  <c r="AF50" i="1"/>
  <c r="C82" i="26"/>
  <c r="D82" i="26"/>
  <c r="AI2" i="28"/>
  <c r="S104" i="28"/>
  <c r="R104" i="28"/>
  <c r="P104" i="28"/>
  <c r="AB103" i="28"/>
  <c r="AC102" i="28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7" i="2"/>
  <c r="X79" i="1"/>
  <c r="L9" i="2"/>
  <c r="L12" i="2"/>
  <c r="M7" i="2"/>
  <c r="Y51" i="1"/>
  <c r="M6" i="2"/>
  <c r="Y79" i="1"/>
  <c r="M9" i="2"/>
  <c r="M12" i="2"/>
  <c r="M13" i="2"/>
  <c r="N7" i="2"/>
  <c r="Z51" i="1"/>
  <c r="N6" i="2"/>
  <c r="Z79" i="1"/>
  <c r="N9" i="2"/>
  <c r="Z101" i="1"/>
  <c r="N11" i="2"/>
  <c r="N12" i="2"/>
  <c r="A13" i="5"/>
  <c r="AF66" i="1"/>
  <c r="AF73" i="1"/>
  <c r="AF98" i="1"/>
  <c r="A3" i="6"/>
  <c r="AI37" i="1"/>
  <c r="AL37" i="1"/>
  <c r="AI66" i="1"/>
  <c r="AK66" i="1"/>
  <c r="AI98" i="1"/>
  <c r="AK98" i="1"/>
  <c r="B27" i="5"/>
  <c r="B26" i="5"/>
  <c r="B25" i="5"/>
  <c r="B24" i="5"/>
  <c r="B23" i="5"/>
  <c r="AI38" i="1"/>
  <c r="AM38" i="1"/>
  <c r="AI39" i="1"/>
  <c r="AL39" i="1"/>
  <c r="AI40" i="1"/>
  <c r="AK40" i="1"/>
  <c r="AI41" i="1"/>
  <c r="AM41" i="1"/>
  <c r="J4" i="6"/>
  <c r="H4" i="6"/>
  <c r="F4" i="6"/>
  <c r="G49" i="21"/>
  <c r="F49" i="21"/>
  <c r="G55" i="21"/>
  <c r="F55" i="21"/>
  <c r="M55" i="21"/>
  <c r="N51" i="21"/>
  <c r="K55" i="21"/>
  <c r="I55" i="21"/>
  <c r="J51" i="21"/>
  <c r="B55" i="21"/>
  <c r="O39" i="21"/>
  <c r="M39" i="21"/>
  <c r="N32" i="21"/>
  <c r="N36" i="21"/>
  <c r="K39" i="21"/>
  <c r="I39" i="21"/>
  <c r="J33" i="21"/>
  <c r="N34" i="21"/>
  <c r="J32" i="21"/>
  <c r="P30" i="21"/>
  <c r="O46" i="21"/>
  <c r="P45" i="21"/>
  <c r="M46" i="21"/>
  <c r="I46" i="21"/>
  <c r="K46" i="21"/>
  <c r="L45" i="21"/>
  <c r="G46" i="21"/>
  <c r="F46" i="21"/>
  <c r="B46" i="21"/>
  <c r="O42" i="21"/>
  <c r="P41" i="21"/>
  <c r="M42" i="21"/>
  <c r="N41" i="21"/>
  <c r="I42" i="21"/>
  <c r="J41" i="21"/>
  <c r="K42" i="21"/>
  <c r="L41" i="21"/>
  <c r="O25" i="21"/>
  <c r="P24" i="21"/>
  <c r="M25" i="21"/>
  <c r="N11" i="21"/>
  <c r="I25" i="21"/>
  <c r="J21" i="21"/>
  <c r="K25" i="21"/>
  <c r="L17" i="21"/>
  <c r="L16" i="21"/>
  <c r="A11" i="2"/>
  <c r="A9" i="2"/>
  <c r="B39" i="21"/>
  <c r="F39" i="21"/>
  <c r="G39" i="21"/>
  <c r="H39" i="21"/>
  <c r="F25" i="21"/>
  <c r="G25" i="21"/>
  <c r="H25" i="21"/>
  <c r="O49" i="21"/>
  <c r="P48" i="21"/>
  <c r="M49" i="21"/>
  <c r="N48" i="21"/>
  <c r="I49" i="21"/>
  <c r="J48" i="21"/>
  <c r="K49" i="21"/>
  <c r="L48" i="21"/>
  <c r="A5" i="2"/>
  <c r="A4" i="2"/>
  <c r="N23" i="21"/>
  <c r="B25" i="21"/>
  <c r="G42" i="21"/>
  <c r="F42" i="21"/>
  <c r="B42" i="21"/>
  <c r="B49" i="21"/>
  <c r="S4" i="1"/>
  <c r="F2" i="2"/>
  <c r="I3" i="2"/>
  <c r="L22" i="21"/>
  <c r="L7" i="21"/>
  <c r="P11" i="21"/>
  <c r="N12" i="21"/>
  <c r="L10" i="21"/>
  <c r="J27" i="21"/>
  <c r="P33" i="21"/>
  <c r="P28" i="21"/>
  <c r="P31" i="21"/>
  <c r="P38" i="21"/>
  <c r="P27" i="21"/>
  <c r="N35" i="21"/>
  <c r="N38" i="21"/>
  <c r="L21" i="21"/>
  <c r="L12" i="21"/>
  <c r="N27" i="21"/>
  <c r="J52" i="21"/>
  <c r="J54" i="21"/>
  <c r="J53" i="21"/>
  <c r="L53" i="21"/>
  <c r="L52" i="21"/>
  <c r="L51" i="21"/>
  <c r="L54" i="21"/>
  <c r="N31" i="21"/>
  <c r="N54" i="21"/>
  <c r="N52" i="21"/>
  <c r="L29" i="21"/>
  <c r="N8" i="21"/>
  <c r="N9" i="21"/>
  <c r="N18" i="21"/>
  <c r="N14" i="21"/>
  <c r="L9" i="21"/>
  <c r="N21" i="21"/>
  <c r="N16" i="21"/>
  <c r="N15" i="21"/>
  <c r="L24" i="21"/>
  <c r="L14" i="21"/>
  <c r="L20" i="21"/>
  <c r="N17" i="21"/>
  <c r="N10" i="21"/>
  <c r="N6" i="21"/>
  <c r="N33" i="21"/>
  <c r="N7" i="21"/>
  <c r="N20" i="21"/>
  <c r="L23" i="21"/>
  <c r="N22" i="21"/>
  <c r="N24" i="21"/>
  <c r="N19" i="21"/>
  <c r="L19" i="21"/>
  <c r="L15" i="21"/>
  <c r="L8" i="21"/>
  <c r="N13" i="21"/>
  <c r="P44" i="21"/>
  <c r="N44" i="21"/>
  <c r="N45" i="21"/>
  <c r="L44" i="21"/>
  <c r="L18" i="21"/>
  <c r="L6" i="21"/>
  <c r="L13" i="21"/>
  <c r="L11" i="21"/>
  <c r="J13" i="21"/>
  <c r="J19" i="21"/>
  <c r="J20" i="21"/>
  <c r="J18" i="21"/>
  <c r="J23" i="21"/>
  <c r="AK2" i="28"/>
  <c r="Q6" i="28"/>
  <c r="Q46" i="28"/>
  <c r="Q55" i="28"/>
  <c r="Q60" i="28"/>
  <c r="W60" i="28"/>
  <c r="Q63" i="28"/>
  <c r="W63" i="28"/>
  <c r="Q76" i="28"/>
  <c r="Q83" i="28"/>
  <c r="Q90" i="28"/>
  <c r="W90" i="28"/>
  <c r="Q98" i="28"/>
  <c r="W98" i="28"/>
  <c r="Q10" i="28"/>
  <c r="W10" i="28"/>
  <c r="Q14" i="28"/>
  <c r="W14" i="28"/>
  <c r="Q22" i="28"/>
  <c r="W22" i="28"/>
  <c r="Q25" i="28"/>
  <c r="W25" i="28"/>
  <c r="Q37" i="28"/>
  <c r="Q42" i="28"/>
  <c r="Q48" i="28"/>
  <c r="Q62" i="28"/>
  <c r="Q78" i="28"/>
  <c r="Q99" i="28"/>
  <c r="Q17" i="28"/>
  <c r="Q21" i="28"/>
  <c r="W21" i="28"/>
  <c r="Q27" i="28"/>
  <c r="Q28" i="28"/>
  <c r="Q31" i="28"/>
  <c r="Q36" i="28"/>
  <c r="Q39" i="28"/>
  <c r="W39" i="28"/>
  <c r="Q45" i="28"/>
  <c r="W45" i="28"/>
  <c r="Q16" i="28"/>
  <c r="W16" i="28"/>
  <c r="Q50" i="28"/>
  <c r="Q67" i="28"/>
  <c r="Q89" i="28"/>
  <c r="W89" i="28"/>
  <c r="Q102" i="28"/>
  <c r="Q9" i="28"/>
  <c r="W9" i="28"/>
  <c r="Q15" i="28"/>
  <c r="Q29" i="28"/>
  <c r="W29" i="28"/>
  <c r="U29" i="28"/>
  <c r="AD29" i="28"/>
  <c r="Q38" i="28"/>
  <c r="Q49" i="28"/>
  <c r="Q81" i="28"/>
  <c r="Q82" i="28"/>
  <c r="Q84" i="28"/>
  <c r="Q91" i="28"/>
  <c r="Q94" i="28"/>
  <c r="Q20" i="28"/>
  <c r="Q11" i="28"/>
  <c r="W11" i="28"/>
  <c r="Q58" i="28"/>
  <c r="W58" i="28"/>
  <c r="Q30" i="28"/>
  <c r="W30" i="28"/>
  <c r="Q59" i="28"/>
  <c r="Q87" i="28"/>
  <c r="Q88" i="28"/>
  <c r="Q97" i="28"/>
  <c r="Q47" i="28"/>
  <c r="W47" i="28"/>
  <c r="Q73" i="28"/>
  <c r="W73" i="28"/>
  <c r="Q77" i="28"/>
  <c r="Q52" i="28"/>
  <c r="Q54" i="28"/>
  <c r="U11" i="28"/>
  <c r="AD11" i="28"/>
  <c r="U19" i="28"/>
  <c r="U23" i="28"/>
  <c r="U26" i="28"/>
  <c r="W27" i="28"/>
  <c r="W28" i="28"/>
  <c r="U32" i="28"/>
  <c r="U33" i="28"/>
  <c r="U36" i="28"/>
  <c r="U37" i="28"/>
  <c r="W42" i="28"/>
  <c r="W49" i="28"/>
  <c r="W54" i="28"/>
  <c r="U57" i="28"/>
  <c r="U59" i="28"/>
  <c r="W62" i="28"/>
  <c r="U67" i="28"/>
  <c r="U78" i="28"/>
  <c r="W81" i="28"/>
  <c r="U91" i="28"/>
  <c r="U7" i="28"/>
  <c r="U8" i="28"/>
  <c r="U9" i="28"/>
  <c r="W20" i="28"/>
  <c r="U30" i="28"/>
  <c r="U47" i="28"/>
  <c r="W52" i="28"/>
  <c r="U55" i="28"/>
  <c r="U81" i="28"/>
  <c r="U82" i="28"/>
  <c r="W82" i="28"/>
  <c r="AD82" i="28"/>
  <c r="U83" i="28"/>
  <c r="U87" i="28"/>
  <c r="U97" i="28"/>
  <c r="U98" i="28"/>
  <c r="U99" i="28"/>
  <c r="U100" i="28"/>
  <c r="U10" i="28"/>
  <c r="U14" i="28"/>
  <c r="U18" i="28"/>
  <c r="U22" i="28"/>
  <c r="U31" i="28"/>
  <c r="U42" i="28"/>
  <c r="AD47" i="28"/>
  <c r="U48" i="28"/>
  <c r="W76" i="28"/>
  <c r="U77" i="28"/>
  <c r="U16" i="28"/>
  <c r="U17" i="28"/>
  <c r="W36" i="28"/>
  <c r="AD36" i="28"/>
  <c r="U54" i="28"/>
  <c r="AD54" i="28"/>
  <c r="W59" i="28"/>
  <c r="U60" i="28"/>
  <c r="U70" i="28"/>
  <c r="W78" i="28"/>
  <c r="W83" i="28"/>
  <c r="W88" i="28"/>
  <c r="U89" i="28"/>
  <c r="AD89" i="28"/>
  <c r="U102" i="28"/>
  <c r="W17" i="28"/>
  <c r="U27" i="28"/>
  <c r="U45" i="28"/>
  <c r="U51" i="28"/>
  <c r="U52" i="28"/>
  <c r="U40" i="28"/>
  <c r="U41" i="28"/>
  <c r="U46" i="28"/>
  <c r="U61" i="28"/>
  <c r="U94" i="28"/>
  <c r="U6" i="28"/>
  <c r="U12" i="28"/>
  <c r="U13" i="28"/>
  <c r="U20" i="28"/>
  <c r="AD20" i="28"/>
  <c r="U21" i="28"/>
  <c r="W46" i="28"/>
  <c r="U49" i="28"/>
  <c r="AD49" i="28"/>
  <c r="U53" i="28"/>
  <c r="U62" i="28"/>
  <c r="AD62" i="28"/>
  <c r="U86" i="28"/>
  <c r="U39" i="28"/>
  <c r="W55" i="28"/>
  <c r="AD55" i="28"/>
  <c r="U73" i="28"/>
  <c r="AD73" i="28"/>
  <c r="U76" i="28"/>
  <c r="U90" i="28"/>
  <c r="W91" i="28"/>
  <c r="AC8" i="28"/>
  <c r="AC12" i="28"/>
  <c r="AC16" i="28"/>
  <c r="AC20" i="28"/>
  <c r="AC24" i="28"/>
  <c r="AC28" i="28"/>
  <c r="AC32" i="28"/>
  <c r="AC36" i="28"/>
  <c r="AC40" i="28"/>
  <c r="AC9" i="28"/>
  <c r="AC13" i="28"/>
  <c r="AC17" i="28"/>
  <c r="AC21" i="28"/>
  <c r="AC6" i="28"/>
  <c r="AC10" i="28"/>
  <c r="AC14" i="28"/>
  <c r="AC18" i="28"/>
  <c r="AC22" i="28"/>
  <c r="AC26" i="28"/>
  <c r="AC30" i="28"/>
  <c r="AC34" i="28"/>
  <c r="AC38" i="28"/>
  <c r="AC42" i="28"/>
  <c r="AC7" i="28"/>
  <c r="AC11" i="28"/>
  <c r="AC15" i="28"/>
  <c r="AC19" i="28"/>
  <c r="AC23" i="28"/>
  <c r="AC25" i="28"/>
  <c r="AC31" i="28"/>
  <c r="AC33" i="28"/>
  <c r="AC39" i="28"/>
  <c r="AC41" i="28"/>
  <c r="AC27" i="28"/>
  <c r="AC29" i="28"/>
  <c r="AC35" i="28"/>
  <c r="AC37" i="28"/>
  <c r="AC47" i="28"/>
  <c r="AC51" i="28"/>
  <c r="AC55" i="28"/>
  <c r="AC59" i="28"/>
  <c r="AC63" i="28"/>
  <c r="AC45" i="28"/>
  <c r="AC53" i="28"/>
  <c r="AC57" i="28"/>
  <c r="AC50" i="28"/>
  <c r="AC48" i="28"/>
  <c r="AC52" i="28"/>
  <c r="AC56" i="28"/>
  <c r="AC60" i="28"/>
  <c r="AC64" i="28"/>
  <c r="AC49" i="28"/>
  <c r="AC61" i="28"/>
  <c r="AC46" i="28"/>
  <c r="AC54" i="28"/>
  <c r="AC58" i="28"/>
  <c r="AC62" i="28"/>
  <c r="AC76" i="28"/>
  <c r="AC77" i="28"/>
  <c r="AC78" i="28"/>
  <c r="AC81" i="28"/>
  <c r="AC82" i="28"/>
  <c r="AC83" i="28"/>
  <c r="AC86" i="28"/>
  <c r="AC87" i="28"/>
  <c r="AC88" i="28"/>
  <c r="AC89" i="28"/>
  <c r="AC90" i="28"/>
  <c r="AC91" i="28"/>
  <c r="AC99" i="28"/>
  <c r="AC97" i="28"/>
  <c r="AC98" i="28"/>
  <c r="I12" i="2"/>
  <c r="I13" i="2"/>
  <c r="P12" i="21"/>
  <c r="L38" i="21"/>
  <c r="P19" i="21"/>
  <c r="L32" i="21"/>
  <c r="P15" i="21"/>
  <c r="J12" i="21"/>
  <c r="J10" i="21"/>
  <c r="L30" i="21"/>
  <c r="P22" i="21"/>
  <c r="N28" i="21"/>
  <c r="P14" i="21"/>
  <c r="P18" i="21"/>
  <c r="P6" i="21"/>
  <c r="P23" i="21"/>
  <c r="J9" i="21"/>
  <c r="J15" i="21"/>
  <c r="J16" i="21"/>
  <c r="P16" i="21"/>
  <c r="P7" i="21"/>
  <c r="P13" i="21"/>
  <c r="N29" i="21"/>
  <c r="N37" i="21"/>
  <c r="P21" i="21"/>
  <c r="P20" i="21"/>
  <c r="L28" i="21"/>
  <c r="P9" i="21"/>
  <c r="L36" i="21"/>
  <c r="J6" i="21"/>
  <c r="J11" i="21"/>
  <c r="L34" i="21"/>
  <c r="P8" i="21"/>
  <c r="N30" i="21"/>
  <c r="L35" i="21"/>
  <c r="L33" i="21"/>
  <c r="P17" i="21"/>
  <c r="J22" i="21"/>
  <c r="L31" i="21"/>
  <c r="P10" i="21"/>
  <c r="AM2" i="28"/>
  <c r="T10" i="28"/>
  <c r="AD30" i="28"/>
  <c r="AD76" i="28"/>
  <c r="T31" i="28"/>
  <c r="T90" i="28"/>
  <c r="T40" i="28"/>
  <c r="T19" i="28"/>
  <c r="T25" i="28"/>
  <c r="T16" i="28"/>
  <c r="T8" i="28"/>
  <c r="W67" i="28"/>
  <c r="X67" i="28"/>
  <c r="Q68" i="28"/>
  <c r="T27" i="28"/>
  <c r="AD45" i="28"/>
  <c r="AD98" i="28"/>
  <c r="T59" i="28"/>
  <c r="T42" i="28"/>
  <c r="T33" i="28"/>
  <c r="T89" i="28"/>
  <c r="T86" i="28"/>
  <c r="T87" i="28"/>
  <c r="T88" i="28"/>
  <c r="T91" i="28"/>
  <c r="T92" i="28"/>
  <c r="T64" i="28"/>
  <c r="T50" i="28"/>
  <c r="T58" i="28"/>
  <c r="T7" i="28"/>
  <c r="T51" i="28"/>
  <c r="T76" i="28"/>
  <c r="T77" i="28"/>
  <c r="T78" i="28"/>
  <c r="T79" i="28"/>
  <c r="T38" i="28"/>
  <c r="T23" i="28"/>
  <c r="AD46" i="28"/>
  <c r="AD52" i="28"/>
  <c r="AD83" i="28"/>
  <c r="T62" i="28"/>
  <c r="T55" i="28"/>
  <c r="T46" i="28"/>
  <c r="T83" i="28"/>
  <c r="T54" i="28"/>
  <c r="AD42" i="28"/>
  <c r="T37" i="28"/>
  <c r="T98" i="28"/>
  <c r="T29" i="28"/>
  <c r="T82" i="28"/>
  <c r="T73" i="28"/>
  <c r="T74" i="28"/>
  <c r="T45" i="28"/>
  <c r="T21" i="28"/>
  <c r="T17" i="28"/>
  <c r="T13" i="28"/>
  <c r="T9" i="28"/>
  <c r="T63" i="28"/>
  <c r="AD21" i="28"/>
  <c r="T60" i="28"/>
  <c r="T36" i="28"/>
  <c r="AD10" i="28"/>
  <c r="T26" i="28"/>
  <c r="T70" i="28"/>
  <c r="T71" i="28"/>
  <c r="T20" i="28"/>
  <c r="T12" i="28"/>
  <c r="T30" i="28"/>
  <c r="T81" i="28"/>
  <c r="T15" i="28"/>
  <c r="T53" i="28"/>
  <c r="T57" i="28"/>
  <c r="T34" i="28"/>
  <c r="AD67" i="28"/>
  <c r="T52" i="28"/>
  <c r="T99" i="28"/>
  <c r="T97" i="28"/>
  <c r="T100" i="28"/>
  <c r="T39" i="28"/>
  <c r="T48" i="28"/>
  <c r="T35" i="28"/>
  <c r="T61" i="28"/>
  <c r="T32" i="28"/>
  <c r="T67" i="28"/>
  <c r="T68" i="28"/>
  <c r="T56" i="28"/>
  <c r="T28" i="28"/>
  <c r="AD17" i="28"/>
  <c r="T24" i="28"/>
  <c r="T11" i="28"/>
  <c r="T41" i="28"/>
  <c r="T102" i="28"/>
  <c r="T103" i="28"/>
  <c r="T49" i="28"/>
  <c r="T6" i="28"/>
  <c r="T94" i="28"/>
  <c r="T95" i="28"/>
  <c r="T47" i="28"/>
  <c r="T22" i="28"/>
  <c r="T18" i="28"/>
  <c r="T14" i="28"/>
  <c r="J12" i="2"/>
  <c r="J13" i="2"/>
  <c r="S101" i="1"/>
  <c r="K12" i="2"/>
  <c r="K13" i="2"/>
  <c r="Q103" i="28"/>
  <c r="U95" i="28"/>
  <c r="V94" i="28"/>
  <c r="W84" i="28"/>
  <c r="U68" i="28"/>
  <c r="V67" i="28"/>
  <c r="U71" i="28"/>
  <c r="V70" i="28"/>
  <c r="Q74" i="28"/>
  <c r="U103" i="28"/>
  <c r="V102" i="28"/>
  <c r="U74" i="28"/>
  <c r="V73" i="28"/>
  <c r="W68" i="28"/>
  <c r="S51" i="1"/>
  <c r="X81" i="28"/>
  <c r="X82" i="28"/>
  <c r="X83" i="28"/>
  <c r="W74" i="28"/>
  <c r="X73" i="28"/>
  <c r="T84" i="28"/>
  <c r="V48" i="1"/>
  <c r="W48" i="1"/>
  <c r="P51" i="1"/>
  <c r="AL43" i="1"/>
  <c r="AL41" i="1"/>
  <c r="AB42" i="1"/>
  <c r="AB37" i="1"/>
  <c r="AB41" i="1"/>
  <c r="AM86" i="1"/>
  <c r="AK37" i="1"/>
  <c r="AM37" i="1"/>
  <c r="AB39" i="1"/>
  <c r="AB43" i="1"/>
  <c r="AB38" i="1"/>
  <c r="AM39" i="1"/>
  <c r="AM82" i="1"/>
  <c r="AM66" i="1"/>
  <c r="AK39" i="1"/>
  <c r="AC53" i="1"/>
  <c r="AL42" i="1"/>
  <c r="AK41" i="1"/>
  <c r="AK70" i="1"/>
  <c r="AK94" i="1"/>
  <c r="S79" i="1"/>
  <c r="V101" i="1"/>
  <c r="W99" i="1"/>
  <c r="P44" i="1"/>
  <c r="AM98" i="1"/>
  <c r="AM42" i="1"/>
  <c r="T101" i="1"/>
  <c r="S84" i="1"/>
  <c r="T79" i="1"/>
  <c r="T84" i="1"/>
  <c r="U82" i="1"/>
  <c r="AC58" i="1"/>
  <c r="P101" i="1"/>
  <c r="AL38" i="1"/>
  <c r="AM40" i="1"/>
  <c r="AK63" i="1"/>
  <c r="AM81" i="1"/>
  <c r="V44" i="1"/>
  <c r="W37" i="1"/>
  <c r="V96" i="1"/>
  <c r="W94" i="1"/>
  <c r="V82" i="1"/>
  <c r="P79" i="1"/>
  <c r="P84" i="1"/>
  <c r="S44" i="1"/>
  <c r="AC57" i="1"/>
  <c r="AL40" i="1"/>
  <c r="AK38" i="1"/>
  <c r="AK43" i="1"/>
  <c r="T96" i="1"/>
  <c r="U94" i="1"/>
  <c r="AK83" i="1"/>
  <c r="V51" i="1"/>
  <c r="W50" i="1"/>
  <c r="P96" i="1"/>
  <c r="W47" i="1"/>
  <c r="W46" i="1"/>
  <c r="W43" i="1"/>
  <c r="U91" i="1"/>
  <c r="U60" i="1"/>
  <c r="U59" i="1"/>
  <c r="U83" i="1"/>
  <c r="W98" i="1"/>
  <c r="W100" i="1"/>
  <c r="U100" i="1"/>
  <c r="U99" i="1"/>
  <c r="U98" i="1"/>
  <c r="U84" i="1"/>
  <c r="U81" i="1"/>
  <c r="U70" i="1"/>
  <c r="U72" i="1"/>
  <c r="W42" i="1"/>
  <c r="W41" i="1"/>
  <c r="W40" i="1"/>
  <c r="W39" i="1"/>
  <c r="W38" i="1"/>
  <c r="U90" i="1"/>
  <c r="V63" i="1"/>
  <c r="V79" i="1"/>
  <c r="V84" i="1"/>
  <c r="U77" i="1"/>
  <c r="U76" i="1"/>
  <c r="U75" i="1"/>
  <c r="U66" i="1"/>
  <c r="U67" i="1"/>
  <c r="U65" i="1"/>
  <c r="U64" i="1"/>
  <c r="U74" i="1"/>
  <c r="U69" i="1"/>
  <c r="U68" i="1"/>
  <c r="U78" i="1"/>
  <c r="U63" i="1"/>
  <c r="U71" i="1"/>
  <c r="U73" i="1"/>
  <c r="U79" i="1"/>
  <c r="U95" i="1"/>
  <c r="W82" i="1"/>
  <c r="W83" i="1"/>
  <c r="W70" i="1"/>
  <c r="W81" i="1"/>
  <c r="AD90" i="28"/>
  <c r="V99" i="28"/>
  <c r="V98" i="28"/>
  <c r="J44" i="21"/>
  <c r="J45" i="21"/>
  <c r="AL30" i="1"/>
  <c r="AM30" i="1"/>
  <c r="AK30" i="1"/>
  <c r="AL10" i="1"/>
  <c r="AK10" i="1"/>
  <c r="AM10" i="1"/>
  <c r="T43" i="28"/>
  <c r="T104" i="28"/>
  <c r="AD27" i="28"/>
  <c r="AD60" i="28"/>
  <c r="AD14" i="28"/>
  <c r="AD91" i="28"/>
  <c r="AD22" i="28"/>
  <c r="N13" i="2"/>
  <c r="L13" i="2"/>
  <c r="Q95" i="28"/>
  <c r="W94" i="28"/>
  <c r="AD39" i="28"/>
  <c r="T65" i="28"/>
  <c r="AD16" i="28"/>
  <c r="AD59" i="28"/>
  <c r="AD9" i="28"/>
  <c r="J38" i="21"/>
  <c r="J28" i="21"/>
  <c r="J36" i="21"/>
  <c r="J35" i="21"/>
  <c r="J29" i="21"/>
  <c r="J31" i="21"/>
  <c r="J34" i="21"/>
  <c r="J37" i="21"/>
  <c r="J30" i="21"/>
  <c r="AN77" i="28"/>
  <c r="AL77" i="28"/>
  <c r="AM50" i="28"/>
  <c r="AL50" i="28"/>
  <c r="AN50" i="28"/>
  <c r="AM26" i="28"/>
  <c r="AN26" i="28"/>
  <c r="AL26" i="28"/>
  <c r="AN14" i="28"/>
  <c r="AL14" i="28"/>
  <c r="AM14" i="28"/>
  <c r="W77" i="28"/>
  <c r="AD77" i="28"/>
  <c r="U79" i="28"/>
  <c r="V76" i="28"/>
  <c r="V97" i="28"/>
  <c r="U84" i="28"/>
  <c r="V81" i="28"/>
  <c r="AD81" i="28"/>
  <c r="AD78" i="28"/>
  <c r="Q79" i="28"/>
  <c r="W97" i="28"/>
  <c r="Q100" i="28"/>
  <c r="W48" i="28"/>
  <c r="W6" i="28"/>
  <c r="U63" i="28"/>
  <c r="W102" i="28"/>
  <c r="W87" i="28"/>
  <c r="U15" i="28"/>
  <c r="U24" i="28"/>
  <c r="U28" i="28"/>
  <c r="W31" i="28"/>
  <c r="AD31" i="28"/>
  <c r="U35" i="28"/>
  <c r="W38" i="28"/>
  <c r="U50" i="28"/>
  <c r="L27" i="21"/>
  <c r="L37" i="21"/>
  <c r="P37" i="21"/>
  <c r="P35" i="21"/>
  <c r="P32" i="21"/>
  <c r="AL62" i="28"/>
  <c r="AN62" i="28"/>
  <c r="AL56" i="28"/>
  <c r="AM56" i="28"/>
  <c r="AL39" i="28"/>
  <c r="AM39" i="28"/>
  <c r="AL35" i="28"/>
  <c r="AM35" i="28"/>
  <c r="AL31" i="28"/>
  <c r="AM31" i="28"/>
  <c r="P89" i="1"/>
  <c r="AK25" i="1"/>
  <c r="AL25" i="1"/>
  <c r="W95" i="1"/>
  <c r="U58" i="28"/>
  <c r="U38" i="28"/>
  <c r="W15" i="28"/>
  <c r="W99" i="28"/>
  <c r="U88" i="28"/>
  <c r="U64" i="28"/>
  <c r="U56" i="28"/>
  <c r="U34" i="28"/>
  <c r="U25" i="28"/>
  <c r="W50" i="28"/>
  <c r="W37" i="28"/>
  <c r="AD37" i="28"/>
  <c r="J7" i="21"/>
  <c r="J17" i="21"/>
  <c r="N53" i="21"/>
  <c r="P36" i="21"/>
  <c r="P29" i="21"/>
  <c r="P34" i="21"/>
  <c r="Q53" i="28"/>
  <c r="W53" i="28"/>
  <c r="Q61" i="28"/>
  <c r="W61" i="28"/>
  <c r="Q86" i="28"/>
  <c r="Q8" i="28"/>
  <c r="W8" i="28"/>
  <c r="Q18" i="28"/>
  <c r="W18" i="28"/>
  <c r="Q33" i="28"/>
  <c r="W33" i="28"/>
  <c r="Q41" i="28"/>
  <c r="W41" i="28"/>
  <c r="Q56" i="28"/>
  <c r="W56" i="28"/>
  <c r="Q13" i="28"/>
  <c r="W13" i="28"/>
  <c r="Q24" i="28"/>
  <c r="W24" i="28"/>
  <c r="Q32" i="28"/>
  <c r="W32" i="28"/>
  <c r="Q40" i="28"/>
  <c r="W40" i="28"/>
  <c r="Q34" i="28"/>
  <c r="W34" i="28"/>
  <c r="Q70" i="28"/>
  <c r="Q23" i="28"/>
  <c r="W23" i="28"/>
  <c r="Q35" i="28"/>
  <c r="W35" i="28"/>
  <c r="Q51" i="28"/>
  <c r="W51" i="28"/>
  <c r="Q12" i="28"/>
  <c r="W12" i="28"/>
  <c r="Q19" i="28"/>
  <c r="W19" i="28"/>
  <c r="Q7" i="28"/>
  <c r="Q64" i="28"/>
  <c r="W64" i="28"/>
  <c r="Q26" i="28"/>
  <c r="W26" i="28"/>
  <c r="Q57" i="28"/>
  <c r="W57" i="28"/>
  <c r="AL13" i="28"/>
  <c r="AN13" i="28"/>
  <c r="AM13" i="28"/>
  <c r="U88" i="1"/>
  <c r="J8" i="21"/>
  <c r="J24" i="21"/>
  <c r="J14" i="21"/>
  <c r="AL19" i="28"/>
  <c r="AM19" i="28"/>
  <c r="AN19" i="28"/>
  <c r="AL16" i="28"/>
  <c r="AM16" i="28"/>
  <c r="AN16" i="28"/>
  <c r="AL23" i="1"/>
  <c r="AM23" i="1"/>
  <c r="AK23" i="1"/>
  <c r="AK8" i="1"/>
  <c r="AM8" i="1"/>
  <c r="AL8" i="1"/>
  <c r="AL17" i="1"/>
  <c r="AM17" i="1"/>
  <c r="AK17" i="1"/>
  <c r="AK15" i="1"/>
  <c r="AM15" i="1"/>
  <c r="AL7" i="1"/>
  <c r="AM7" i="1"/>
  <c r="AL51" i="28"/>
  <c r="AM51" i="28"/>
  <c r="AM17" i="28"/>
  <c r="AL17" i="28"/>
  <c r="V55" i="1"/>
  <c r="P55" i="1"/>
  <c r="P61" i="1"/>
  <c r="V60" i="1"/>
  <c r="AK32" i="1"/>
  <c r="AM32" i="1"/>
  <c r="AL24" i="1"/>
  <c r="AK24" i="1"/>
  <c r="AL9" i="1"/>
  <c r="AM9" i="1"/>
  <c r="AN53" i="28"/>
  <c r="AL53" i="28"/>
  <c r="AL49" i="28"/>
  <c r="AM49" i="28"/>
  <c r="AM37" i="28"/>
  <c r="AL37" i="28"/>
  <c r="AM33" i="28"/>
  <c r="AL33" i="28"/>
  <c r="AM29" i="28"/>
  <c r="AL29" i="28"/>
  <c r="AM15" i="28"/>
  <c r="AN15" i="28"/>
  <c r="AM12" i="28"/>
  <c r="AN12" i="28"/>
  <c r="P48" i="1"/>
  <c r="AM24" i="1"/>
  <c r="AK34" i="1"/>
  <c r="AL34" i="1"/>
  <c r="AK31" i="1"/>
  <c r="AL31" i="1"/>
  <c r="AL16" i="1"/>
  <c r="AM16" i="1"/>
  <c r="AK11" i="1"/>
  <c r="AL11" i="1"/>
  <c r="S35" i="1"/>
  <c r="AK6" i="1"/>
  <c r="AM6" i="1"/>
  <c r="AL29" i="1"/>
  <c r="AD53" i="28"/>
  <c r="AD40" i="28"/>
  <c r="AD23" i="28"/>
  <c r="AD12" i="28"/>
  <c r="W7" i="28"/>
  <c r="Q43" i="28"/>
  <c r="AD8" i="28"/>
  <c r="AD34" i="28"/>
  <c r="AD88" i="28"/>
  <c r="U92" i="28"/>
  <c r="V88" i="28"/>
  <c r="AD58" i="28"/>
  <c r="U65" i="28"/>
  <c r="V58" i="28"/>
  <c r="AD50" i="28"/>
  <c r="V50" i="28"/>
  <c r="AD28" i="28"/>
  <c r="W103" i="28"/>
  <c r="X102" i="28"/>
  <c r="AD102" i="28"/>
  <c r="Q65" i="28"/>
  <c r="W100" i="28"/>
  <c r="X98" i="28"/>
  <c r="X97" i="28"/>
  <c r="AD97" i="28"/>
  <c r="W53" i="1"/>
  <c r="W54" i="1"/>
  <c r="AD57" i="28"/>
  <c r="AD19" i="28"/>
  <c r="AD41" i="28"/>
  <c r="W86" i="28"/>
  <c r="Q92" i="28"/>
  <c r="AD99" i="28"/>
  <c r="X99" i="28"/>
  <c r="AD24" i="28"/>
  <c r="AD63" i="28"/>
  <c r="V63" i="28"/>
  <c r="W79" i="28"/>
  <c r="X77" i="28"/>
  <c r="V78" i="28"/>
  <c r="V77" i="28"/>
  <c r="W63" i="1"/>
  <c r="V35" i="1"/>
  <c r="W8" i="1"/>
  <c r="V61" i="1"/>
  <c r="W58" i="1"/>
  <c r="AD26" i="28"/>
  <c r="Q71" i="28"/>
  <c r="W70" i="28"/>
  <c r="W43" i="28"/>
  <c r="X33" i="28"/>
  <c r="AD33" i="28"/>
  <c r="AD56" i="28"/>
  <c r="V56" i="28"/>
  <c r="AD35" i="28"/>
  <c r="U43" i="28"/>
  <c r="V15" i="28"/>
  <c r="AD15" i="28"/>
  <c r="Q104" i="28"/>
  <c r="V82" i="28"/>
  <c r="V83" i="28"/>
  <c r="V34" i="28"/>
  <c r="AD32" i="28"/>
  <c r="AD61" i="28"/>
  <c r="W65" i="28"/>
  <c r="X50" i="28"/>
  <c r="AD51" i="28"/>
  <c r="X34" i="28"/>
  <c r="X13" i="28"/>
  <c r="AD13" i="28"/>
  <c r="AD18" i="28"/>
  <c r="X18" i="28"/>
  <c r="X37" i="28"/>
  <c r="AD25" i="28"/>
  <c r="AD64" i="28"/>
  <c r="V64" i="28"/>
  <c r="AD38" i="28"/>
  <c r="X31" i="28"/>
  <c r="AD87" i="28"/>
  <c r="W104" i="28"/>
  <c r="X6" i="28"/>
  <c r="AD6" i="28"/>
  <c r="U104" i="28"/>
  <c r="W95" i="28"/>
  <c r="X94" i="28"/>
  <c r="AD94" i="28"/>
  <c r="AD48" i="28"/>
  <c r="X28" i="28"/>
  <c r="X25" i="28"/>
  <c r="X42" i="28"/>
  <c r="X21" i="28"/>
  <c r="X17" i="28"/>
  <c r="X36" i="28"/>
  <c r="X29" i="28"/>
  <c r="X10" i="28"/>
  <c r="X11" i="28"/>
  <c r="X27" i="28"/>
  <c r="X22" i="28"/>
  <c r="X30" i="28"/>
  <c r="X39" i="28"/>
  <c r="X9" i="28"/>
  <c r="X20" i="28"/>
  <c r="X16" i="28"/>
  <c r="X14" i="28"/>
  <c r="V38" i="28"/>
  <c r="V25" i="28"/>
  <c r="X51" i="28"/>
  <c r="V35" i="28"/>
  <c r="X24" i="28"/>
  <c r="X26" i="28"/>
  <c r="W16" i="1"/>
  <c r="W30" i="1"/>
  <c r="W25" i="1"/>
  <c r="W18" i="1"/>
  <c r="W29" i="1"/>
  <c r="W15" i="1"/>
  <c r="W11" i="1"/>
  <c r="W19" i="1"/>
  <c r="W23" i="1"/>
  <c r="W12" i="1"/>
  <c r="W10" i="1"/>
  <c r="W7" i="1"/>
  <c r="W33" i="1"/>
  <c r="W32" i="1"/>
  <c r="W13" i="1"/>
  <c r="W21" i="1"/>
  <c r="W6" i="1"/>
  <c r="W20" i="1"/>
  <c r="W31" i="1"/>
  <c r="W34" i="1"/>
  <c r="W22" i="1"/>
  <c r="W28" i="1"/>
  <c r="W27" i="1"/>
  <c r="W17" i="1"/>
  <c r="W14" i="1"/>
  <c r="W26" i="1"/>
  <c r="W9" i="1"/>
  <c r="W24" i="1"/>
  <c r="X38" i="28"/>
  <c r="AD86" i="28"/>
  <c r="W92" i="28"/>
  <c r="X86" i="28"/>
  <c r="X19" i="28"/>
  <c r="V48" i="28"/>
  <c r="V45" i="28"/>
  <c r="V51" i="28"/>
  <c r="V46" i="28"/>
  <c r="V52" i="28"/>
  <c r="V53" i="28"/>
  <c r="V55" i="28"/>
  <c r="V49" i="28"/>
  <c r="V54" i="28"/>
  <c r="V57" i="28"/>
  <c r="V62" i="28"/>
  <c r="V47" i="28"/>
  <c r="V59" i="28"/>
  <c r="V61" i="28"/>
  <c r="V60" i="28"/>
  <c r="X56" i="28"/>
  <c r="X61" i="28"/>
  <c r="W71" i="28"/>
  <c r="X70" i="28"/>
  <c r="AD70" i="28"/>
  <c r="W60" i="1"/>
  <c r="X78" i="28"/>
  <c r="X76" i="28"/>
  <c r="V89" i="28"/>
  <c r="V86" i="28"/>
  <c r="V90" i="28"/>
  <c r="V87" i="28"/>
  <c r="V91" i="28"/>
  <c r="X35" i="28"/>
  <c r="X12" i="28"/>
  <c r="X40" i="28"/>
  <c r="X62" i="28"/>
  <c r="X58" i="28"/>
  <c r="X45" i="28"/>
  <c r="X59" i="28"/>
  <c r="X63" i="28"/>
  <c r="X46" i="28"/>
  <c r="X49" i="28"/>
  <c r="X55" i="28"/>
  <c r="X54" i="28"/>
  <c r="X60" i="28"/>
  <c r="X52" i="28"/>
  <c r="X47" i="28"/>
  <c r="X64" i="28"/>
  <c r="V12" i="28"/>
  <c r="V10" i="28"/>
  <c r="V26" i="28"/>
  <c r="V21" i="28"/>
  <c r="V33" i="28"/>
  <c r="V42" i="28"/>
  <c r="V13" i="28"/>
  <c r="V17" i="28"/>
  <c r="V20" i="28"/>
  <c r="V18" i="28"/>
  <c r="V36" i="28"/>
  <c r="V30" i="28"/>
  <c r="V19" i="28"/>
  <c r="V41" i="28"/>
  <c r="V9" i="28"/>
  <c r="V7" i="28"/>
  <c r="V22" i="28"/>
  <c r="V29" i="28"/>
  <c r="V39" i="28"/>
  <c r="V6" i="28"/>
  <c r="V23" i="28"/>
  <c r="V32" i="28"/>
  <c r="V11" i="28"/>
  <c r="V27" i="28"/>
  <c r="V37" i="28"/>
  <c r="V16" i="28"/>
  <c r="V14" i="28"/>
  <c r="V8" i="28"/>
  <c r="V31" i="28"/>
  <c r="V40" i="28"/>
  <c r="X15" i="28"/>
  <c r="W77" i="1"/>
  <c r="W65" i="1"/>
  <c r="W71" i="1"/>
  <c r="W64" i="1"/>
  <c r="W73" i="1"/>
  <c r="W76" i="1"/>
  <c r="W68" i="1"/>
  <c r="W69" i="1"/>
  <c r="W75" i="1"/>
  <c r="W66" i="1"/>
  <c r="W67" i="1"/>
  <c r="W78" i="1"/>
  <c r="W72" i="1"/>
  <c r="W74" i="1"/>
  <c r="V24" i="28"/>
  <c r="X41" i="28"/>
  <c r="X57" i="28"/>
  <c r="V28" i="28"/>
  <c r="X53" i="28"/>
  <c r="X48" i="28"/>
  <c r="X32" i="28"/>
  <c r="X8" i="28"/>
  <c r="AD7" i="28"/>
  <c r="X7" i="28"/>
  <c r="X23" i="28"/>
  <c r="X91" i="28"/>
  <c r="X90" i="28"/>
  <c r="X88" i="28"/>
  <c r="X89" i="28"/>
  <c r="X87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J63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3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J66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66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H70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70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1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1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2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2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83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83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<sst xmlns="http://schemas.openxmlformats.org/spreadsheetml/2006/main" count="1245" uniqueCount="486">
  <si>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</si>
  <si>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</si>
  <si>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</si>
  <si>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</si>
  <si>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</si>
  <si>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</si>
  <si>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</si>
  <si>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</si>
  <si>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</si>
  <si>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</si>
  <si>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</si>
  <si>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</si>
  <si>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</si>
  <si>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</si>
  <si>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</si>
  <si>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</si>
  <si>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</si>
  <si>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</si>
  <si>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</si>
  <si>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</si>
  <si>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</si>
  <si>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</si>
  <si>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</si>
  <si>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</si>
  <si>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</si>
  <si>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</si>
  <si>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</si>
  <si>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</si>
  <si>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</si>
  <si>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</si>
  <si>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</si>
  <si>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</si>
  <si>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</si>
  <si>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</si>
  <si>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</si>
  <si>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</si>
  <si>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</si>
  <si>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</si>
  <si>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</si>
  <si>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</si>
  <si>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</si>
  <si>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</si>
  <si>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</si>
  <si>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</si>
  <si>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</si>
  <si>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</si>
  <si>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</si>
  <si>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</si>
  <si>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</si>
  <si>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</si>
  <si>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</si>
  <si>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</si>
  <si>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</si>
  <si>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</si>
  <si>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</si>
  <si>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</si>
  <si>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</si>
  <si>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</si>
  <si>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</si>
  <si>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</si>
  <si>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</si>
  <si>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</si>
  <si>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</si>
  <si>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</si>
  <si>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</si>
  <si>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</si>
  <si>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Simpson Experiment Station - Pendleton, South Carolina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</si>
  <si>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</si>
  <si>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</si>
  <si>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</si>
  <si>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</si>
  <si>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</si>
  <si>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</si>
  <si>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</si>
  <si>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</si>
  <si>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</si>
  <si>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</si>
  <si>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</si>
  <si>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</si>
  <si>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</si>
  <si>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</si>
  <si>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</si>
  <si>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</si>
  <si>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</si>
  <si>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</si>
  <si>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</si>
  <si>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</si>
  <si>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</si>
  <si>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</si>
  <si>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</si>
  <si>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</si>
  <si>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</si>
  <si>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</si>
  <si>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</si>
  <si>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</si>
  <si>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</si>
  <si>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</si>
  <si>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</si>
  <si>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</si>
  <si>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</si>
  <si>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</si>
  <si>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</si>
  <si>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</si>
  <si>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</si>
  <si>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</si>
  <si>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</si>
  <si>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</si>
  <si>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</si>
  <si>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</si>
  <si>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2011 CLEMSON BULL TEST</t>
  </si>
  <si>
    <t>HSAF Bando 1961</t>
  </si>
  <si>
    <t>Sitz Upward 307R</t>
  </si>
  <si>
    <t>Sitz Onward 8337</t>
  </si>
  <si>
    <t>SAV Final Answer 0035</t>
  </si>
  <si>
    <t>8 Bulls Culled</t>
  </si>
  <si>
    <t>SA-jr</t>
  </si>
  <si>
    <t>Div</t>
  </si>
  <si>
    <t>Y21</t>
  </si>
  <si>
    <t>S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</si>
  <si>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</si>
  <si>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</si>
  <si>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</si>
  <si>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</si>
  <si>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</si>
  <si>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</si>
  <si>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</si>
  <si>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</si>
  <si>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</si>
  <si>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</si>
  <si>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</si>
  <si>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</si>
  <si>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</si>
  <si>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</si>
  <si>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</si>
  <si>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</si>
  <si>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</si>
  <si>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</si>
  <si>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</si>
  <si>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</si>
  <si>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</si>
  <si>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</si>
  <si>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</si>
  <si>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</si>
  <si>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</si>
  <si>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</si>
  <si>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</si>
  <si>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</si>
  <si>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</si>
  <si>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</si>
  <si>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</si>
  <si>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</si>
  <si>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</si>
  <si>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</si>
  <si>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</si>
  <si>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</si>
  <si>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</si>
  <si>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</si>
  <si>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</si>
  <si>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</si>
  <si>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</si>
  <si>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</si>
  <si>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</si>
  <si>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</si>
  <si>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</si>
  <si>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</si>
  <si>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</si>
  <si>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</si>
  <si>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</si>
  <si>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</si>
  <si>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</si>
  <si>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</si>
  <si>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</si>
  <si>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</si>
  <si>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</si>
  <si>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</si>
  <si>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</si>
  <si>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</si>
  <si>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</si>
  <si>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</si>
  <si>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</si>
  <si>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</si>
  <si>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</si>
  <si>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</si>
  <si>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</si>
  <si>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</si>
  <si>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</si>
  <si>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</si>
  <si>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</si>
  <si>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</si>
  <si>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</si>
  <si>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</si>
  <si>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</si>
  <si>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</si>
  <si>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</si>
  <si>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</si>
  <si>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</si>
  <si>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</si>
  <si>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</si>
  <si>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</si>
  <si>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</si>
  <si>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</si>
  <si>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</si>
  <si>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</si>
  <si>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</si>
  <si>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</si>
  <si>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</si>
  <si>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</si>
  <si>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</si>
  <si>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</si>
  <si>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</si>
  <si>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</si>
  <si>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</si>
  <si>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</si>
  <si>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</si>
  <si>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</si>
  <si>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</si>
  <si>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</si>
  <si>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</si>
  <si>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</si>
  <si>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</si>
  <si>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</si>
  <si>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</si>
  <si>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</si>
  <si>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</si>
  <si>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</si>
  <si>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</si>
  <si>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</si>
  <si>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</si>
  <si>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</si>
  <si>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</si>
  <si>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</si>
  <si>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</si>
  <si>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</si>
  <si>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 xml:space="preserve">2014 CLEMSON BULL TEST 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</si>
  <si>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</si>
  <si>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</si>
  <si>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</si>
  <si>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</si>
  <si>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</si>
  <si>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</si>
  <si>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</si>
  <si>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</si>
  <si>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</si>
  <si>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</si>
  <si>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</si>
  <si>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</si>
  <si>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</si>
  <si>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</si>
  <si>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</si>
  <si>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</si>
  <si>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Simangus - Seniors</t>
  </si>
  <si>
    <t>Clemson University Bull Test</t>
  </si>
  <si>
    <t>Hereford - Seniors</t>
  </si>
  <si>
    <t>Red Angus - Juniors</t>
  </si>
  <si>
    <t>162-Days Weight Report ~ February 3, 2018</t>
  </si>
  <si>
    <t>Charolais- Seniors</t>
  </si>
  <si>
    <t>Gelbvieh - Seniors</t>
  </si>
  <si>
    <t>H</t>
  </si>
  <si>
    <t>Registration number</t>
  </si>
  <si>
    <t>365 Day Adjusted</t>
  </si>
  <si>
    <t>2019 CLEMSON BULL TEST</t>
  </si>
  <si>
    <t>2019 Clemson Bull Test</t>
  </si>
  <si>
    <t>2019 Clemson Bull Test - Died, Going Home &amp; Culled Bulls</t>
  </si>
  <si>
    <t>28-Days Weight Report ~ September 18, 2018</t>
  </si>
  <si>
    <t>Ultra-Black  -Juniors</t>
  </si>
  <si>
    <t>A&amp;B Spotlight 3065</t>
  </si>
  <si>
    <t>EC102</t>
  </si>
  <si>
    <t>Quaker Hill Rampage</t>
  </si>
  <si>
    <t>EC41</t>
  </si>
  <si>
    <t>ECA66</t>
  </si>
  <si>
    <t>BCIV Big Casino</t>
  </si>
  <si>
    <t>EY33</t>
  </si>
  <si>
    <t>BBS True Justice B10</t>
  </si>
  <si>
    <t>SFE38</t>
  </si>
  <si>
    <t>KCF Bennett Fortress</t>
  </si>
  <si>
    <t>XE41</t>
  </si>
  <si>
    <t>KCF Bennett Southside</t>
  </si>
  <si>
    <t>KE12</t>
  </si>
  <si>
    <t>KE18</t>
  </si>
  <si>
    <t>SS Niagara Z29</t>
  </si>
  <si>
    <t>NE24</t>
  </si>
  <si>
    <t>FE28</t>
  </si>
  <si>
    <t>KE42</t>
  </si>
  <si>
    <t>HPF Optimizer</t>
  </si>
  <si>
    <t>E38</t>
  </si>
  <si>
    <t>E1</t>
  </si>
  <si>
    <t>E19</t>
  </si>
  <si>
    <t>SAV Bruiser</t>
  </si>
  <si>
    <t>EC02</t>
  </si>
  <si>
    <t>Big Casino</t>
  </si>
  <si>
    <t>EC06</t>
  </si>
  <si>
    <t>Plattemere Weighup</t>
  </si>
  <si>
    <t>WC Lockdown</t>
  </si>
  <si>
    <t>067E</t>
  </si>
  <si>
    <t>Hooks Broadway</t>
  </si>
  <si>
    <t>146E</t>
  </si>
  <si>
    <t>GAR Prophet</t>
  </si>
  <si>
    <t>CF95</t>
  </si>
  <si>
    <t>4CLF Crimson Tide c641</t>
  </si>
  <si>
    <t>E744</t>
  </si>
  <si>
    <t>IR Zeus A178</t>
  </si>
  <si>
    <t>E740</t>
  </si>
  <si>
    <t>GW Preium Beef 021</t>
  </si>
  <si>
    <t>E705</t>
  </si>
  <si>
    <t>W727X</t>
  </si>
  <si>
    <t>RB Tour of Duty 177</t>
  </si>
  <si>
    <t>Red Angus - Seniors</t>
  </si>
  <si>
    <t>Red Global Trust 21T</t>
  </si>
  <si>
    <t>OH/29E</t>
  </si>
  <si>
    <t>AAR Ten X 7008</t>
  </si>
  <si>
    <t>E6</t>
  </si>
  <si>
    <t>Deer Valley Patriot</t>
  </si>
  <si>
    <t>825E</t>
  </si>
  <si>
    <t>811E</t>
  </si>
  <si>
    <t>PMFG Chief Executive</t>
  </si>
  <si>
    <t>815E</t>
  </si>
  <si>
    <t>Ccross Carolina 5118C</t>
  </si>
  <si>
    <t>821E</t>
  </si>
  <si>
    <t>NRF Mr. Smokester 600</t>
  </si>
  <si>
    <t>SAV Ten Speed 3002</t>
  </si>
  <si>
    <t>SAV Renown 3439</t>
  </si>
  <si>
    <t>704E</t>
  </si>
  <si>
    <t>SAV West River 2066</t>
  </si>
  <si>
    <t>714E</t>
  </si>
  <si>
    <t xml:space="preserve">Connealy Comrade </t>
  </si>
  <si>
    <t>Williams Upward</t>
  </si>
  <si>
    <t>Basin Payweight</t>
  </si>
  <si>
    <t>E14</t>
  </si>
  <si>
    <t>E110</t>
  </si>
  <si>
    <t>E108</t>
  </si>
  <si>
    <t>Quaker Hill Manning</t>
  </si>
  <si>
    <t>E183</t>
  </si>
  <si>
    <t>VAR Discovery</t>
  </si>
  <si>
    <t>E240</t>
  </si>
  <si>
    <t xml:space="preserve">WK Bobcat </t>
  </si>
  <si>
    <t>7M8</t>
  </si>
  <si>
    <t>BSF Hot Lotto 1401</t>
  </si>
  <si>
    <t>7M14</t>
  </si>
  <si>
    <t>7M16</t>
  </si>
  <si>
    <t>Bieber Spartacus</t>
  </si>
  <si>
    <t>7M11</t>
  </si>
  <si>
    <t xml:space="preserve">EXAR Hi Tech </t>
  </si>
  <si>
    <t>Chimney Top Upward</t>
  </si>
  <si>
    <t>GW Substance</t>
  </si>
  <si>
    <t>875E</t>
  </si>
  <si>
    <t>BALANCER</t>
  </si>
  <si>
    <t>CCRO Carolina Leverage</t>
  </si>
  <si>
    <t>174E</t>
  </si>
  <si>
    <t>LCB Jewel Maker 155</t>
  </si>
  <si>
    <t>Senior</t>
  </si>
  <si>
    <t>Yon Future Focus A45</t>
  </si>
  <si>
    <t>853F4</t>
  </si>
  <si>
    <t>193F</t>
  </si>
  <si>
    <t>Yon Tour of duty d651</t>
  </si>
  <si>
    <t>KCF Encore Z311</t>
  </si>
  <si>
    <t>EFBEEF Tested X651</t>
  </si>
  <si>
    <t>3</t>
  </si>
  <si>
    <t>Broadway Cattle Farm LLC</t>
  </si>
  <si>
    <t>Chuck Broadway</t>
  </si>
  <si>
    <t>4409 Medlin Road</t>
  </si>
  <si>
    <t>Monroe North Carolina 28112</t>
  </si>
  <si>
    <t>704-573-3514</t>
  </si>
  <si>
    <t>Shuffler Farm</t>
  </si>
  <si>
    <t>Eugene Shuffler</t>
  </si>
  <si>
    <t>444 Union Grove Road</t>
  </si>
  <si>
    <t>Union Grove, North Carolina 28689</t>
  </si>
  <si>
    <t>704-539-4161</t>
  </si>
  <si>
    <t>Williams Angus</t>
  </si>
  <si>
    <t>George Williams, M.D.</t>
  </si>
  <si>
    <t>2299 Boones Creek Road</t>
  </si>
  <si>
    <t>Gray, Tennessee 37615</t>
  </si>
  <si>
    <t>423-341-7044</t>
  </si>
  <si>
    <t>Primus Genetics</t>
  </si>
  <si>
    <t xml:space="preserve">Leonard Fussell, DVM </t>
  </si>
  <si>
    <t>480 Vannoy Road</t>
  </si>
  <si>
    <t>Millers Creek, North Carolina 28651</t>
  </si>
  <si>
    <t>336-984-9643</t>
  </si>
  <si>
    <t>Clinton Farms</t>
  </si>
  <si>
    <t>Lee Clinton</t>
  </si>
  <si>
    <t>3005 Clinton Dairy Road</t>
  </si>
  <si>
    <t>Clover, South Carolina 29710</t>
  </si>
  <si>
    <t>704-913-6127</t>
  </si>
  <si>
    <t>Cooks Cattle Service</t>
  </si>
  <si>
    <t>John Cook</t>
  </si>
  <si>
    <t xml:space="preserve">P.O. Box 92 </t>
  </si>
  <si>
    <t>Buckhead, Georgia 30605</t>
  </si>
  <si>
    <t>706-818-1348</t>
  </si>
  <si>
    <t>Oak Hill Farm</t>
  </si>
  <si>
    <t>Danny Winchester</t>
  </si>
  <si>
    <t>134 Fox Hunt Lane</t>
  </si>
  <si>
    <t>Six Mile, South Carolina 29682</t>
  </si>
  <si>
    <t>864-637-8592</t>
  </si>
  <si>
    <t>Currahee Cattle Company</t>
  </si>
  <si>
    <t>Ken Whitfield</t>
  </si>
  <si>
    <t>PO Box 253</t>
  </si>
  <si>
    <t>706-491-4073</t>
  </si>
  <si>
    <t>Sheppard Farms</t>
  </si>
  <si>
    <t>Lindy Sheppard</t>
  </si>
  <si>
    <t>179 Sheppard Switch</t>
  </si>
  <si>
    <t>Sylvania, Georgia 30467</t>
  </si>
  <si>
    <t>912-682-1474</t>
  </si>
  <si>
    <t>Paul Boyd Angus</t>
  </si>
  <si>
    <t>Neil Boyd</t>
  </si>
  <si>
    <t>1631 Paul Boyd Rd.</t>
  </si>
  <si>
    <t>803-684-3587</t>
  </si>
  <si>
    <t>Saluda Ridge</t>
  </si>
  <si>
    <t>Clark Rushton</t>
  </si>
  <si>
    <t>401 J. Paul Rd</t>
  </si>
  <si>
    <t>Johnston, South Carolina 29832</t>
  </si>
  <si>
    <t>803-480-0146</t>
  </si>
  <si>
    <t>Black Crest Farm</t>
  </si>
  <si>
    <t>Billy McLeod</t>
  </si>
  <si>
    <t>1320 Old Manning Road</t>
  </si>
  <si>
    <t>Sumter, South Carolina 29150</t>
  </si>
  <si>
    <t>803-481-2011</t>
  </si>
  <si>
    <t>MPAC Angus</t>
  </si>
  <si>
    <t>Marvin Zeigler</t>
  </si>
  <si>
    <t>1653 Main Hwy.</t>
  </si>
  <si>
    <t>Bamberg, South Carolina 29003</t>
  </si>
  <si>
    <t>803-682-4850</t>
  </si>
  <si>
    <t>Panther Creek Farm</t>
  </si>
  <si>
    <t>John Smith</t>
  </si>
  <si>
    <t>1434 Kitty Noecker Rd</t>
  </si>
  <si>
    <t>Pink Hill, North Carolina 28572</t>
  </si>
  <si>
    <t>252-526-1929</t>
  </si>
  <si>
    <t>Barrett Farms</t>
  </si>
  <si>
    <t>Chet Barrett</t>
  </si>
  <si>
    <t>769 Tommy Irvin Road</t>
  </si>
  <si>
    <t>Mt. Airy, Georgia 30563</t>
  </si>
  <si>
    <t>706-499-8008</t>
  </si>
  <si>
    <t>Woodlawn Farms</t>
  </si>
  <si>
    <t>Rick Wood</t>
  </si>
  <si>
    <t>453 Swain Wood Road</t>
  </si>
  <si>
    <t>Clarkesville, Georgia 30523</t>
  </si>
  <si>
    <t>706-776-3863</t>
  </si>
  <si>
    <t>Brendy Hill Farm</t>
  </si>
  <si>
    <t>Virgil Wall</t>
  </si>
  <si>
    <t>P.O. Box 497</t>
  </si>
  <si>
    <t>Ninety Six, South Carolina 29666</t>
  </si>
  <si>
    <t>864-942-2380</t>
  </si>
  <si>
    <t>Nubbin Ridge Farm</t>
  </si>
  <si>
    <t>Mike King</t>
  </si>
  <si>
    <t>6198 West Oak Hwy</t>
  </si>
  <si>
    <t>Westminster, South Carolina 29693</t>
  </si>
  <si>
    <t>864-958-1343</t>
  </si>
  <si>
    <t>Eddie Bradley</t>
  </si>
  <si>
    <t xml:space="preserve">2710 Dills Road </t>
  </si>
  <si>
    <t>Hiawasee, Georgia 30546</t>
  </si>
  <si>
    <t>706-994-2079</t>
  </si>
  <si>
    <t>Misty Hill Farm</t>
  </si>
  <si>
    <t>Ricky Baumgarner</t>
  </si>
  <si>
    <t>167 Heritage Drive</t>
  </si>
  <si>
    <t>Walhalla, South Carolina 29691</t>
  </si>
  <si>
    <t>864-710-6832</t>
  </si>
  <si>
    <t>3D Cattle Company</t>
  </si>
  <si>
    <t>Joey Doyle</t>
  </si>
  <si>
    <t>1160 Doyle Road</t>
  </si>
  <si>
    <t>Aynor, South Carolina 29511</t>
  </si>
  <si>
    <t>843-222-0030</t>
  </si>
  <si>
    <t>Innisfail Farm</t>
  </si>
  <si>
    <t>Weyman Hunt</t>
  </si>
  <si>
    <t>P.O. Box 488</t>
  </si>
  <si>
    <t>Madison, Georgia 30650</t>
  </si>
  <si>
    <t>706-342-0264</t>
  </si>
  <si>
    <t>Carnesville, Georggia 30521</t>
  </si>
  <si>
    <t>RCC Sure Value 20B</t>
  </si>
  <si>
    <t>30E</t>
  </si>
  <si>
    <t>EFBeef X51 Resolute C615</t>
  </si>
  <si>
    <t>39E</t>
  </si>
  <si>
    <t>NJW 73S Hometown 10Y ET</t>
  </si>
  <si>
    <t>Hereford - Juniors</t>
  </si>
  <si>
    <t>SAV Brunswick 1100</t>
  </si>
  <si>
    <t>724E</t>
  </si>
  <si>
    <t>237E</t>
  </si>
  <si>
    <t>173E</t>
  </si>
  <si>
    <t>SimAngus - Juniors</t>
  </si>
  <si>
    <t xml:space="preserve">2019 CLEMSON BULL TEST </t>
  </si>
  <si>
    <t>2019 CUBT</t>
  </si>
  <si>
    <t>56 Days</t>
  </si>
  <si>
    <t>56-Days Weight Report ~ October 17, 2018</t>
  </si>
  <si>
    <t>0-Days [On-Test] Weight Report ~ August 21 &amp; 22, 2018</t>
  </si>
  <si>
    <t>28-Days Weight Report ~ September 19, 2018</t>
  </si>
  <si>
    <t>84-Days Weight Report ~ November 14, 2018</t>
  </si>
  <si>
    <t>112-Days [Off-Test] Weight Report ~ December 12 &amp; 13, 2018</t>
  </si>
  <si>
    <t>EC29</t>
  </si>
  <si>
    <t>SAV Bruiser 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</si>
</sst>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</numFmts>
  <fonts count="129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3"/>
      <name val="Calibri"/>
      <family val="2"/>
      <scheme val="minor"/>
    </font>
    <font>
      <u/>
      <sz val="10"/>
      <color theme="1"/>
      <name val="Arial"/>
      <family val="2"/>
    </font>
    <font>
      <sz val="12"/>
      <color theme="1"/>
      <name val="Comic Sans MS"/>
      <family val="4"/>
    </font>
    <font>
      <b/>
      <sz val="12"/>
      <color theme="0"/>
      <name val="Comic Sans MS"/>
      <family val="4"/>
    </font>
    <font>
      <b/>
      <sz val="12"/>
      <color theme="1"/>
      <name val="Comic Sans MS"/>
      <family val="4"/>
    </font>
    <font>
      <b/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12"/>
      <color rgb="FFFF0000"/>
      <name val="Calibri"/>
      <family val="2"/>
      <scheme val="minor"/>
    </font>
    <font>
      <sz val="10"/>
      <name val="Calibri"/>
      <family val="2"/>
      <scheme val="minor"/>
    </font>
  </fonts>
  <fills count="104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theme="1"/>
        <bgColor indexed="26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42"/>
      </patternFill>
    </fill>
    <fill>
      <patternFill patternType="solid">
        <fgColor theme="1"/>
        <bgColor indexed="42"/>
      </patternFill>
    </fill>
    <fill>
      <patternFill patternType="solid">
        <fgColor rgb="FFFFFF00"/>
        <bgColor indexed="43"/>
      </patternFill>
    </fill>
  </fills>
  <borders count="25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theme="1"/>
      </right>
      <top/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ck">
        <color theme="1"/>
      </right>
      <top/>
      <bottom style="thin">
        <color auto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83" applyNumberFormat="0" applyFill="0" applyAlignment="0" applyProtection="0"/>
    <xf numFmtId="0" fontId="105" fillId="0" borderId="184" applyNumberFormat="0" applyFill="0" applyAlignment="0" applyProtection="0"/>
    <xf numFmtId="0" fontId="106" fillId="0" borderId="185" applyNumberFormat="0" applyFill="0" applyAlignment="0" applyProtection="0"/>
    <xf numFmtId="0" fontId="106" fillId="0" borderId="0" applyNumberFormat="0" applyFill="0" applyBorder="0" applyAlignment="0" applyProtection="0"/>
    <xf numFmtId="0" fontId="107" fillId="63" borderId="0" applyNumberFormat="0" applyBorder="0" applyAlignment="0" applyProtection="0"/>
    <xf numFmtId="0" fontId="108" fillId="64" borderId="0" applyNumberFormat="0" applyBorder="0" applyAlignment="0" applyProtection="0"/>
    <xf numFmtId="0" fontId="109" fillId="65" borderId="0" applyNumberFormat="0" applyBorder="0" applyAlignment="0" applyProtection="0"/>
    <xf numFmtId="0" fontId="110" fillId="66" borderId="186" applyNumberFormat="0" applyAlignment="0" applyProtection="0"/>
    <xf numFmtId="0" fontId="111" fillId="67" borderId="187" applyNumberFormat="0" applyAlignment="0" applyProtection="0"/>
    <xf numFmtId="0" fontId="112" fillId="67" borderId="186" applyNumberFormat="0" applyAlignment="0" applyProtection="0"/>
    <xf numFmtId="0" fontId="113" fillId="0" borderId="188" applyNumberFormat="0" applyFill="0" applyAlignment="0" applyProtection="0"/>
    <xf numFmtId="0" fontId="114" fillId="68" borderId="189" applyNumberFormat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91" applyNumberFormat="0" applyFill="0" applyAlignment="0" applyProtection="0"/>
    <xf numFmtId="0" fontId="118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8" fillId="73" borderId="0" applyNumberFormat="0" applyBorder="0" applyAlignment="0" applyProtection="0"/>
    <xf numFmtId="0" fontId="118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8" fillId="77" borderId="0" applyNumberFormat="0" applyBorder="0" applyAlignment="0" applyProtection="0"/>
    <xf numFmtId="0" fontId="118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8" fillId="81" borderId="0" applyNumberFormat="0" applyBorder="0" applyAlignment="0" applyProtection="0"/>
    <xf numFmtId="0" fontId="118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8" fillId="85" borderId="0" applyNumberFormat="0" applyBorder="0" applyAlignment="0" applyProtection="0"/>
    <xf numFmtId="0" fontId="118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8" fillId="89" borderId="0" applyNumberFormat="0" applyBorder="0" applyAlignment="0" applyProtection="0"/>
    <xf numFmtId="0" fontId="118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8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1482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horizontal="left"/>
      <protection locked="0"/>
    </xf>
    <xf numFmtId="0" fontId="97" fillId="14" borderId="177" xfId="0" applyFont="1" applyFill="1" applyBorder="1" applyAlignment="1" applyProtection="1">
      <alignment horizontal="center" vertical="center"/>
      <protection locked="0"/>
    </xf>
    <xf numFmtId="0" fontId="97" fillId="14" borderId="177" xfId="0" applyFont="1" applyFill="1" applyBorder="1" applyAlignment="1" applyProtection="1">
      <alignment horizontal="center" vertical="center"/>
    </xf>
    <xf numFmtId="0" fontId="97" fillId="14" borderId="121" xfId="0" applyFont="1" applyFill="1" applyBorder="1" applyAlignment="1" applyProtection="1">
      <alignment horizontal="center" vertical="center"/>
    </xf>
    <xf numFmtId="0" fontId="97" fillId="14" borderId="51" xfId="0" applyFont="1" applyFill="1" applyBorder="1" applyAlignment="1" applyProtection="1">
      <alignment horizontal="center" vertical="center"/>
    </xf>
    <xf numFmtId="0" fontId="98" fillId="3" borderId="29" xfId="0" applyFont="1" applyFill="1" applyBorder="1" applyAlignment="1" applyProtection="1">
      <alignment horizontal="center" vertical="center"/>
      <protection locked="0"/>
    </xf>
    <xf numFmtId="0" fontId="98" fillId="3" borderId="10" xfId="0" quotePrefix="1" applyFont="1" applyFill="1" applyBorder="1" applyAlignment="1" applyProtection="1">
      <alignment horizontal="center" vertical="center"/>
      <protection locked="0"/>
    </xf>
    <xf numFmtId="0" fontId="98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4" fontId="14" fillId="29" borderId="54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NumberFormat="1" applyFont="1" applyBorder="1" applyAlignment="1">
      <alignment horizontal="center" vertical="center"/>
    </xf>
    <xf numFmtId="169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99" fillId="60" borderId="76" xfId="0" applyFont="1" applyFill="1" applyBorder="1" applyAlignment="1" applyProtection="1">
      <alignment horizontal="center" vertical="center"/>
      <protection locked="0"/>
    </xf>
    <xf numFmtId="49" fontId="100" fillId="0" borderId="77" xfId="0" applyNumberFormat="1" applyFont="1" applyBorder="1" applyAlignment="1">
      <alignment horizontal="center" vertical="center"/>
    </xf>
    <xf numFmtId="0" fontId="101" fillId="0" borderId="90" xfId="0" applyFont="1" applyBorder="1" applyAlignment="1"/>
    <xf numFmtId="0" fontId="101" fillId="0" borderId="90" xfId="0" applyFont="1" applyBorder="1" applyAlignment="1">
      <alignment horizontal="center"/>
    </xf>
    <xf numFmtId="173" fontId="100" fillId="0" borderId="76" xfId="5" applyNumberFormat="1" applyFont="1" applyBorder="1" applyAlignment="1" applyProtection="1">
      <alignment horizontal="center" vertical="center"/>
      <protection locked="0"/>
    </xf>
    <xf numFmtId="1" fontId="100" fillId="0" borderId="77" xfId="5" applyNumberFormat="1" applyFont="1" applyBorder="1" applyAlignment="1" applyProtection="1">
      <alignment horizontal="center" vertical="center"/>
      <protection locked="0"/>
    </xf>
    <xf numFmtId="0" fontId="101" fillId="0" borderId="90" xfId="0" applyNumberFormat="1" applyFont="1" applyBorder="1" applyAlignment="1">
      <alignment horizontal="center"/>
    </xf>
    <xf numFmtId="0" fontId="101" fillId="0" borderId="49" xfId="0" applyFont="1" applyBorder="1" applyAlignment="1">
      <alignment horizontal="center" vertical="center"/>
    </xf>
    <xf numFmtId="0" fontId="101" fillId="0" borderId="77" xfId="0" applyFont="1" applyBorder="1" applyAlignment="1">
      <alignment horizontal="center" vertical="center"/>
    </xf>
    <xf numFmtId="0" fontId="101" fillId="0" borderId="76" xfId="0" applyFont="1" applyBorder="1" applyAlignment="1">
      <alignment horizontal="left" vertical="center"/>
    </xf>
    <xf numFmtId="1" fontId="102" fillId="0" borderId="10" xfId="5" applyNumberFormat="1" applyFont="1" applyBorder="1" applyAlignment="1" applyProtection="1">
      <alignment horizontal="center"/>
      <protection locked="0"/>
    </xf>
    <xf numFmtId="173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horizontal="center" vertical="center"/>
    </xf>
    <xf numFmtId="1" fontId="102" fillId="43" borderId="10" xfId="5" applyNumberFormat="1" applyFont="1" applyFill="1" applyBorder="1" applyAlignment="1" applyProtection="1">
      <alignment horizontal="center"/>
      <protection locked="0"/>
    </xf>
    <xf numFmtId="0" fontId="101" fillId="0" borderId="76" xfId="0" applyFont="1" applyFill="1" applyBorder="1" applyAlignment="1">
      <alignment horizontal="left" vertical="center"/>
    </xf>
    <xf numFmtId="0" fontId="101" fillId="0" borderId="77" xfId="0" applyFont="1" applyFill="1" applyBorder="1" applyAlignment="1">
      <alignment horizontal="center" vertical="center"/>
    </xf>
    <xf numFmtId="1" fontId="100" fillId="0" borderId="10" xfId="5" applyNumberFormat="1" applyFont="1" applyBorder="1" applyAlignment="1" applyProtection="1">
      <alignment horizontal="center"/>
      <protection locked="0"/>
    </xf>
    <xf numFmtId="0" fontId="100" fillId="0" borderId="77" xfId="5" applyFont="1" applyBorder="1" applyAlignment="1" applyProtection="1">
      <alignment horizontal="center" vertical="center"/>
      <protection locked="0"/>
    </xf>
    <xf numFmtId="14" fontId="100" fillId="0" borderId="76" xfId="0" applyNumberFormat="1" applyFont="1" applyBorder="1" applyAlignment="1">
      <alignment horizontal="center" vertical="center"/>
    </xf>
    <xf numFmtId="0" fontId="100" fillId="0" borderId="77" xfId="0" applyFont="1" applyBorder="1" applyAlignment="1">
      <alignment horizontal="center" vertical="center"/>
    </xf>
    <xf numFmtId="0" fontId="102" fillId="0" borderId="85" xfId="0" applyFont="1" applyFill="1" applyBorder="1" applyAlignment="1">
      <alignment vertical="center"/>
    </xf>
    <xf numFmtId="0" fontId="100" fillId="0" borderId="49" xfId="0" applyFont="1" applyBorder="1" applyAlignment="1">
      <alignment horizontal="center" vertical="center"/>
    </xf>
    <xf numFmtId="0" fontId="100" fillId="0" borderId="86" xfId="0" applyFont="1" applyBorder="1" applyAlignment="1">
      <alignment horizontal="center" vertical="center"/>
    </xf>
    <xf numFmtId="0" fontId="100" fillId="0" borderId="85" xfId="0" applyFont="1" applyBorder="1" applyAlignment="1">
      <alignment vertical="center"/>
    </xf>
    <xf numFmtId="14" fontId="101" fillId="0" borderId="76" xfId="0" applyNumberFormat="1" applyFont="1" applyBorder="1" applyAlignment="1">
      <alignment horizontal="center" vertical="center"/>
    </xf>
    <xf numFmtId="0" fontId="101" fillId="0" borderId="85" xfId="0" applyFont="1" applyBorder="1" applyAlignment="1">
      <alignment vertical="center"/>
    </xf>
    <xf numFmtId="1" fontId="100" fillId="0" borderId="10" xfId="5" applyNumberFormat="1" applyFont="1" applyFill="1" applyBorder="1" applyAlignment="1" applyProtection="1">
      <alignment horizontal="center"/>
      <protection locked="0"/>
    </xf>
    <xf numFmtId="0" fontId="100" fillId="0" borderId="77" xfId="5" applyFont="1" applyFill="1" applyBorder="1" applyAlignment="1" applyProtection="1">
      <alignment horizontal="center" vertical="center"/>
      <protection locked="0"/>
    </xf>
    <xf numFmtId="14" fontId="101" fillId="0" borderId="76" xfId="0" applyNumberFormat="1" applyFont="1" applyFill="1" applyBorder="1" applyAlignment="1">
      <alignment horizontal="center" vertical="center"/>
    </xf>
    <xf numFmtId="0" fontId="101" fillId="0" borderId="85" xfId="0" applyFont="1" applyFill="1" applyBorder="1" applyAlignment="1">
      <alignment vertical="center"/>
    </xf>
    <xf numFmtId="0" fontId="101" fillId="0" borderId="49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69" fontId="16" fillId="0" borderId="50" xfId="0" applyNumberFormat="1" applyFont="1" applyBorder="1" applyAlignment="1" applyProtection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1" fontId="100" fillId="62" borderId="85" xfId="3" applyNumberFormat="1" applyFont="1" applyFill="1" applyBorder="1" applyAlignment="1" applyProtection="1">
      <alignment horizontal="centerContinuous" vertical="center"/>
      <protection locked="0"/>
    </xf>
    <xf numFmtId="1" fontId="100" fillId="0" borderId="85" xfId="3" applyNumberFormat="1" applyFont="1" applyFill="1" applyBorder="1" applyAlignment="1" applyProtection="1">
      <alignment horizontal="centerContinuous" vertical="center"/>
      <protection locked="0"/>
    </xf>
    <xf numFmtId="0" fontId="101" fillId="43" borderId="77" xfId="0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vertical="center"/>
    </xf>
    <xf numFmtId="0" fontId="101" fillId="43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0" xfId="0" applyNumberFormat="1" applyFont="1" applyBorder="1" applyAlignment="1">
      <alignment horizontal="center" vertical="center"/>
    </xf>
    <xf numFmtId="0" fontId="101" fillId="43" borderId="76" xfId="0" applyFont="1" applyFill="1" applyBorder="1" applyAlignment="1">
      <alignment horizontal="left" vertical="center"/>
    </xf>
    <xf numFmtId="0" fontId="100" fillId="43" borderId="77" xfId="5" applyFont="1" applyFill="1" applyBorder="1" applyAlignment="1" applyProtection="1">
      <alignment horizontal="center" vertical="center"/>
      <protection locked="0"/>
    </xf>
    <xf numFmtId="14" fontId="101" fillId="43" borderId="76" xfId="0" applyNumberFormat="1" applyFont="1" applyFill="1" applyBorder="1" applyAlignment="1">
      <alignment horizontal="center" vertical="center"/>
    </xf>
    <xf numFmtId="173" fontId="101" fillId="43" borderId="76" xfId="0" applyNumberFormat="1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horizontal="center" vertical="center"/>
    </xf>
    <xf numFmtId="49" fontId="100" fillId="43" borderId="77" xfId="0" applyNumberFormat="1" applyFont="1" applyFill="1" applyBorder="1" applyAlignment="1">
      <alignment horizontal="center" vertical="center"/>
    </xf>
    <xf numFmtId="2" fontId="16" fillId="43" borderId="57" xfId="0" applyNumberFormat="1" applyFont="1" applyFill="1" applyBorder="1" applyAlignment="1" applyProtection="1">
      <alignment horizontal="center" vertical="center"/>
    </xf>
    <xf numFmtId="0" fontId="0" fillId="50" borderId="182" xfId="0" applyFill="1" applyBorder="1"/>
    <xf numFmtId="0" fontId="2" fillId="0" borderId="0" xfId="243"/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6" fillId="43" borderId="86" xfId="0" applyNumberFormat="1" applyFont="1" applyFill="1" applyBorder="1" applyAlignment="1" applyProtection="1">
      <alignment horizontal="center" vertical="center"/>
    </xf>
    <xf numFmtId="169" fontId="16" fillId="43" borderId="49" xfId="0" applyNumberFormat="1" applyFont="1" applyFill="1" applyBorder="1" applyAlignment="1" applyProtection="1">
      <alignment horizontal="center" vertical="center"/>
    </xf>
    <xf numFmtId="1" fontId="16" fillId="43" borderId="90" xfId="0" applyNumberFormat="1" applyFont="1" applyFill="1" applyBorder="1" applyAlignment="1" applyProtection="1">
      <alignment horizontal="center" vertical="center"/>
    </xf>
    <xf numFmtId="1" fontId="16" fillId="43" borderId="57" xfId="0" applyNumberFormat="1" applyFont="1" applyFill="1" applyBorder="1" applyAlignment="1" applyProtection="1">
      <alignment horizontal="center" vertical="center"/>
    </xf>
    <xf numFmtId="1" fontId="16" fillId="43" borderId="91" xfId="0" applyNumberFormat="1" applyFont="1" applyFill="1" applyBorder="1" applyAlignment="1" applyProtection="1">
      <alignment horizontal="center" vertical="center"/>
    </xf>
    <xf numFmtId="1" fontId="16" fillId="43" borderId="49" xfId="0" applyNumberFormat="1" applyFont="1" applyFill="1" applyBorder="1" applyAlignment="1" applyProtection="1">
      <alignment horizontal="center" vertical="center"/>
    </xf>
    <xf numFmtId="1" fontId="16" fillId="43" borderId="80" xfId="0" applyNumberFormat="1" applyFont="1" applyFill="1" applyBorder="1" applyAlignment="1" applyProtection="1">
      <alignment horizontal="center" vertical="center"/>
    </xf>
    <xf numFmtId="1" fontId="16" fillId="43" borderId="50" xfId="0" applyNumberFormat="1" applyFont="1" applyFill="1" applyBorder="1" applyAlignment="1" applyProtection="1">
      <alignment horizontal="center" vertical="center"/>
    </xf>
    <xf numFmtId="1" fontId="16" fillId="43" borderId="77" xfId="0" applyNumberFormat="1" applyFont="1" applyFill="1" applyBorder="1" applyAlignment="1" applyProtection="1">
      <alignment horizontal="center" vertical="center"/>
    </xf>
    <xf numFmtId="0" fontId="0" fillId="43" borderId="57" xfId="0" applyNumberFormat="1" applyFont="1" applyFill="1" applyBorder="1" applyAlignment="1" applyProtection="1">
      <alignment horizontal="center" vertical="center"/>
    </xf>
    <xf numFmtId="0" fontId="0" fillId="43" borderId="50" xfId="0" applyNumberFormat="1" applyFont="1" applyFill="1" applyBorder="1" applyAlignment="1" applyProtection="1">
      <alignment horizontal="center" vertical="center"/>
    </xf>
    <xf numFmtId="169" fontId="16" fillId="0" borderId="58" xfId="0" applyNumberFormat="1" applyFont="1" applyBorder="1" applyAlignment="1" applyProtection="1">
      <alignment horizontal="center" vertical="center"/>
    </xf>
    <xf numFmtId="1" fontId="16" fillId="43" borderId="58" xfId="0" applyNumberFormat="1" applyFont="1" applyFill="1" applyBorder="1" applyAlignment="1" applyProtection="1">
      <alignment horizontal="center" vertical="center"/>
    </xf>
    <xf numFmtId="0" fontId="101" fillId="43" borderId="58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99" fillId="60" borderId="182" xfId="0" applyFont="1" applyFill="1" applyBorder="1" applyAlignment="1" applyProtection="1">
      <alignment horizontal="center" vertical="center"/>
      <protection locked="0"/>
    </xf>
    <xf numFmtId="0" fontId="101" fillId="0" borderId="182" xfId="0" applyFont="1" applyBorder="1" applyAlignment="1">
      <alignment horizontal="left" vertical="center"/>
    </xf>
    <xf numFmtId="0" fontId="101" fillId="43" borderId="182" xfId="0" applyFont="1" applyFill="1" applyBorder="1" applyAlignment="1">
      <alignment vertical="center"/>
    </xf>
    <xf numFmtId="0" fontId="4" fillId="0" borderId="182" xfId="0" applyFont="1" applyBorder="1" applyAlignment="1">
      <alignment horizontal="center" vertical="center"/>
    </xf>
    <xf numFmtId="1" fontId="16" fillId="0" borderId="182" xfId="0" applyNumberFormat="1" applyFont="1" applyBorder="1" applyAlignment="1" applyProtection="1">
      <alignment horizontal="center" vertical="center"/>
    </xf>
    <xf numFmtId="169" fontId="16" fillId="0" borderId="182" xfId="0" applyNumberFormat="1" applyFont="1" applyBorder="1" applyAlignment="1" applyProtection="1">
      <alignment horizontal="center" vertical="center"/>
    </xf>
    <xf numFmtId="1" fontId="16" fillId="43" borderId="182" xfId="0" applyNumberFormat="1" applyFont="1" applyFill="1" applyBorder="1" applyAlignment="1" applyProtection="1">
      <alignment horizontal="center" vertical="center"/>
    </xf>
    <xf numFmtId="4" fontId="14" fillId="25" borderId="182" xfId="0" applyNumberFormat="1" applyFont="1" applyFill="1" applyBorder="1" applyAlignment="1" applyProtection="1">
      <alignment horizont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6" fillId="6" borderId="182" xfId="0" applyFont="1" applyFill="1" applyBorder="1" applyAlignment="1" applyProtection="1">
      <alignment horizontal="center"/>
    </xf>
    <xf numFmtId="0" fontId="100" fillId="0" borderId="192" xfId="5" applyFont="1" applyBorder="1" applyAlignment="1" applyProtection="1">
      <alignment horizontal="center" vertical="center"/>
      <protection locked="0"/>
    </xf>
    <xf numFmtId="14" fontId="101" fillId="0" borderId="193" xfId="0" applyNumberFormat="1" applyFont="1" applyBorder="1" applyAlignment="1">
      <alignment horizontal="center" vertical="center"/>
    </xf>
    <xf numFmtId="0" fontId="100" fillId="0" borderId="140" xfId="5" applyFont="1" applyBorder="1" applyAlignment="1" applyProtection="1">
      <alignment horizontal="center" vertical="center"/>
      <protection locked="0"/>
    </xf>
    <xf numFmtId="14" fontId="101" fillId="0" borderId="141" xfId="0" applyNumberFormat="1" applyFont="1" applyBorder="1" applyAlignment="1">
      <alignment horizontal="center" vertical="center"/>
    </xf>
    <xf numFmtId="3" fontId="4" fillId="43" borderId="97" xfId="0" applyNumberFormat="1" applyFont="1" applyFill="1" applyBorder="1" applyAlignment="1" applyProtection="1">
      <alignment horizontal="center" vertical="center"/>
    </xf>
    <xf numFmtId="0" fontId="4" fillId="43" borderId="50" xfId="0" applyFont="1" applyFill="1" applyBorder="1" applyAlignment="1">
      <alignment horizontal="center" vertical="center"/>
    </xf>
    <xf numFmtId="0" fontId="2" fillId="43" borderId="0" xfId="243" applyFill="1"/>
    <xf numFmtId="0" fontId="99" fillId="60" borderId="58" xfId="0" applyFont="1" applyFill="1" applyBorder="1" applyAlignment="1" applyProtection="1">
      <alignment horizontal="center" vertical="center"/>
      <protection locked="0"/>
    </xf>
    <xf numFmtId="0" fontId="101" fillId="0" borderId="58" xfId="0" applyFont="1" applyBorder="1" applyAlignment="1">
      <alignment horizontal="left" vertical="center"/>
    </xf>
    <xf numFmtId="0" fontId="101" fillId="43" borderId="58" xfId="0" applyFont="1" applyFill="1" applyBorder="1" applyAlignment="1">
      <alignment vertical="center"/>
    </xf>
    <xf numFmtId="4" fontId="14" fillId="25" borderId="58" xfId="0" applyNumberFormat="1" applyFont="1" applyFill="1" applyBorder="1" applyAlignment="1" applyProtection="1">
      <alignment horizontal="center"/>
    </xf>
    <xf numFmtId="4" fontId="5" fillId="22" borderId="58" xfId="0" applyNumberFormat="1" applyFont="1" applyFill="1" applyBorder="1" applyAlignment="1" applyProtection="1">
      <alignment horizontal="center"/>
    </xf>
    <xf numFmtId="167" fontId="15" fillId="11" borderId="58" xfId="0" quotePrefix="1" applyNumberFormat="1" applyFont="1" applyFill="1" applyBorder="1" applyAlignment="1" applyProtection="1">
      <alignment horizontal="center"/>
    </xf>
    <xf numFmtId="1" fontId="7" fillId="11" borderId="58" xfId="0" applyNumberFormat="1" applyFont="1" applyFill="1" applyBorder="1" applyAlignment="1" applyProtection="1">
      <alignment horizontal="center"/>
    </xf>
    <xf numFmtId="2" fontId="14" fillId="16" borderId="58" xfId="0" quotePrefix="1" applyNumberFormat="1" applyFont="1" applyFill="1" applyBorder="1" applyAlignment="1" applyProtection="1">
      <alignment horizontal="center"/>
    </xf>
    <xf numFmtId="167" fontId="16" fillId="6" borderId="58" xfId="0" quotePrefix="1" applyNumberFormat="1" applyFont="1" applyFill="1" applyBorder="1" applyAlignment="1" applyProtection="1">
      <alignment horizontal="center"/>
    </xf>
    <xf numFmtId="0" fontId="4" fillId="6" borderId="58" xfId="0" applyFont="1" applyFill="1" applyBorder="1" applyAlignment="1" applyProtection="1">
      <alignment horizontal="center"/>
    </xf>
    <xf numFmtId="168" fontId="4" fillId="6" borderId="58" xfId="0" applyNumberFormat="1" applyFont="1" applyFill="1" applyBorder="1" applyAlignment="1" applyProtection="1">
      <alignment horizontal="center"/>
    </xf>
    <xf numFmtId="171" fontId="4" fillId="6" borderId="58" xfId="0" applyNumberFormat="1" applyFont="1" applyFill="1" applyBorder="1" applyAlignment="1" applyProtection="1">
      <alignment horizontal="center"/>
    </xf>
    <xf numFmtId="0" fontId="16" fillId="6" borderId="58" xfId="0" applyFont="1" applyFill="1" applyBorder="1" applyAlignment="1" applyProtection="1">
      <alignment horizontal="center"/>
    </xf>
    <xf numFmtId="1" fontId="16" fillId="94" borderId="194" xfId="0" applyNumberFormat="1" applyFont="1" applyFill="1" applyBorder="1" applyAlignment="1" applyProtection="1">
      <alignment horizontal="center" vertical="center"/>
    </xf>
    <xf numFmtId="169" fontId="14" fillId="29" borderId="127" xfId="0" applyNumberFormat="1" applyFont="1" applyFill="1" applyBorder="1" applyAlignment="1" applyProtection="1">
      <alignment vertical="center"/>
      <protection locked="0"/>
    </xf>
    <xf numFmtId="169" fontId="14" fillId="29" borderId="0" xfId="0" applyNumberFormat="1" applyFont="1" applyFill="1" applyBorder="1" applyAlignment="1" applyProtection="1">
      <alignment vertical="center"/>
      <protection locked="0"/>
    </xf>
    <xf numFmtId="0" fontId="14" fillId="29" borderId="195" xfId="0" applyFont="1" applyFill="1" applyBorder="1" applyAlignment="1" applyProtection="1">
      <alignment horizontal="center" vertical="center"/>
      <protection locked="0"/>
    </xf>
    <xf numFmtId="0" fontId="14" fillId="29" borderId="195" xfId="0" applyFont="1" applyFill="1" applyBorder="1" applyAlignment="1" applyProtection="1">
      <alignment horizontal="left" vertical="center"/>
    </xf>
    <xf numFmtId="0" fontId="14" fillId="29" borderId="196" xfId="0" applyFont="1" applyFill="1" applyBorder="1" applyAlignment="1" applyProtection="1">
      <alignment horizontal="center" vertical="center"/>
    </xf>
    <xf numFmtId="167" fontId="14" fillId="29" borderId="197" xfId="0" applyNumberFormat="1" applyFont="1" applyFill="1" applyBorder="1" applyAlignment="1" applyProtection="1">
      <alignment vertical="center"/>
    </xf>
    <xf numFmtId="0" fontId="98" fillId="3" borderId="198" xfId="0" quotePrefix="1" applyFont="1" applyFill="1" applyBorder="1" applyAlignment="1" applyProtection="1">
      <alignment horizontal="center" vertical="center"/>
      <protection locked="0"/>
    </xf>
    <xf numFmtId="49" fontId="100" fillId="0" borderId="199" xfId="0" applyNumberFormat="1" applyFont="1" applyBorder="1" applyAlignment="1">
      <alignment horizontal="center" vertical="center"/>
    </xf>
    <xf numFmtId="0" fontId="101" fillId="0" borderId="199" xfId="0" applyFont="1" applyBorder="1" applyAlignment="1">
      <alignment horizontal="center" vertical="center"/>
    </xf>
    <xf numFmtId="0" fontId="0" fillId="43" borderId="57" xfId="0" applyFill="1" applyBorder="1" applyAlignment="1">
      <alignment horizontal="center" vertical="center"/>
    </xf>
    <xf numFmtId="0" fontId="4" fillId="0" borderId="0" xfId="0" applyFont="1"/>
    <xf numFmtId="0" fontId="100" fillId="43" borderId="77" xfId="0" applyFont="1" applyFill="1" applyBorder="1" applyAlignment="1">
      <alignment horizontal="center" vertical="center"/>
    </xf>
    <xf numFmtId="0" fontId="100" fillId="43" borderId="49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vertical="center"/>
    </xf>
    <xf numFmtId="0" fontId="100" fillId="43" borderId="204" xfId="0" applyFont="1" applyFill="1" applyBorder="1" applyAlignment="1">
      <alignment horizontal="center" vertical="center"/>
    </xf>
    <xf numFmtId="0" fontId="100" fillId="43" borderId="203" xfId="0" applyFont="1" applyFill="1" applyBorder="1" applyAlignment="1">
      <alignment horizontal="center" vertical="center"/>
    </xf>
    <xf numFmtId="0" fontId="100" fillId="43" borderId="205" xfId="0" applyFont="1" applyFill="1" applyBorder="1" applyAlignment="1">
      <alignment vertical="center"/>
    </xf>
    <xf numFmtId="0" fontId="101" fillId="43" borderId="182" xfId="0" applyFont="1" applyFill="1" applyBorder="1" applyAlignment="1">
      <alignment horizontal="center" vertical="center"/>
    </xf>
    <xf numFmtId="0" fontId="119" fillId="60" borderId="76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3" fontId="4" fillId="43" borderId="85" xfId="0" applyNumberFormat="1" applyFont="1" applyFill="1" applyBorder="1" applyAlignment="1" applyProtection="1">
      <alignment horizontal="center" vertical="center"/>
    </xf>
    <xf numFmtId="0" fontId="0" fillId="43" borderId="49" xfId="0" applyFill="1" applyBorder="1" applyAlignment="1">
      <alignment horizontal="center" vertical="center"/>
    </xf>
    <xf numFmtId="1" fontId="14" fillId="95" borderId="56" xfId="0" applyNumberFormat="1" applyFont="1" applyFill="1" applyBorder="1" applyAlignment="1" applyProtection="1">
      <alignment horizontal="center" vertical="center"/>
    </xf>
    <xf numFmtId="1" fontId="14" fillId="95" borderId="49" xfId="0" applyNumberFormat="1" applyFont="1" applyFill="1" applyBorder="1" applyAlignment="1" applyProtection="1">
      <alignment horizontal="center" vertical="center"/>
    </xf>
    <xf numFmtId="2" fontId="14" fillId="95" borderId="49" xfId="0" applyNumberFormat="1" applyFont="1" applyFill="1" applyBorder="1" applyAlignment="1" applyProtection="1">
      <alignment horizontal="center" vertical="center"/>
      <protection locked="0"/>
    </xf>
    <xf numFmtId="1" fontId="14" fillId="95" borderId="71" xfId="0" applyNumberFormat="1" applyFont="1" applyFill="1" applyBorder="1" applyAlignment="1" applyProtection="1">
      <alignment horizontal="center" vertical="center"/>
    </xf>
    <xf numFmtId="1" fontId="14" fillId="95" borderId="94" xfId="0" applyNumberFormat="1" applyFont="1" applyFill="1" applyBorder="1" applyAlignment="1" applyProtection="1">
      <alignment horizontal="center" vertical="center"/>
    </xf>
    <xf numFmtId="4" fontId="14" fillId="95" borderId="87" xfId="0" applyNumberFormat="1" applyFont="1" applyFill="1" applyBorder="1" applyAlignment="1" applyProtection="1">
      <alignment horizontal="center" vertical="center"/>
      <protection locked="0"/>
    </xf>
    <xf numFmtId="3" fontId="14" fillId="95" borderId="127" xfId="0" applyNumberFormat="1" applyFont="1" applyFill="1" applyBorder="1" applyAlignment="1" applyProtection="1">
      <alignment horizontal="center" vertical="center"/>
      <protection locked="0"/>
    </xf>
    <xf numFmtId="2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4" fillId="95" borderId="54" xfId="0" applyNumberFormat="1" applyFont="1" applyFill="1" applyBorder="1" applyAlignment="1" applyProtection="1">
      <alignment horizontal="center" vertical="center"/>
    </xf>
    <xf numFmtId="3" fontId="14" fillId="95" borderId="71" xfId="0" applyNumberFormat="1" applyFont="1" applyFill="1" applyBorder="1" applyAlignment="1" applyProtection="1">
      <alignment horizontal="center" vertical="center"/>
      <protection locked="0"/>
    </xf>
    <xf numFmtId="1" fontId="16" fillId="94" borderId="57" xfId="0" applyNumberFormat="1" applyFont="1" applyFill="1" applyBorder="1" applyAlignment="1" applyProtection="1">
      <alignment horizontal="center" vertical="center"/>
    </xf>
    <xf numFmtId="2" fontId="14" fillId="95" borderId="56" xfId="0" applyNumberFormat="1" applyFont="1" applyFill="1" applyBorder="1" applyAlignment="1" applyProtection="1">
      <alignment horizontal="center" vertical="center"/>
      <protection locked="0"/>
    </xf>
    <xf numFmtId="1" fontId="14" fillId="95" borderId="79" xfId="0" applyNumberFormat="1" applyFont="1" applyFill="1" applyBorder="1" applyAlignment="1" applyProtection="1">
      <alignment horizontal="center" vertical="center"/>
    </xf>
    <xf numFmtId="0" fontId="100" fillId="0" borderId="76" xfId="0" applyFont="1" applyBorder="1" applyAlignment="1">
      <alignment horizontal="left" vertical="center"/>
    </xf>
    <xf numFmtId="1" fontId="100" fillId="43" borderId="10" xfId="5" applyNumberFormat="1" applyFont="1" applyFill="1" applyBorder="1" applyAlignment="1" applyProtection="1">
      <alignment horizontal="center"/>
      <protection locked="0"/>
    </xf>
    <xf numFmtId="14" fontId="101" fillId="0" borderId="205" xfId="0" applyNumberFormat="1" applyFont="1" applyBorder="1" applyAlignment="1">
      <alignment horizontal="center" vertical="center"/>
    </xf>
    <xf numFmtId="0" fontId="100" fillId="0" borderId="209" xfId="5" applyFont="1" applyBorder="1" applyAlignment="1" applyProtection="1">
      <alignment horizontal="center" vertical="center"/>
      <protection locked="0"/>
    </xf>
    <xf numFmtId="2" fontId="16" fillId="43" borderId="49" xfId="0" applyNumberFormat="1" applyFont="1" applyFill="1" applyBorder="1" applyAlignment="1" applyProtection="1">
      <alignment horizontal="center" vertical="center"/>
    </xf>
    <xf numFmtId="1" fontId="0" fillId="43" borderId="57" xfId="0" applyNumberFormat="1" applyFont="1" applyFill="1" applyBorder="1" applyAlignment="1" applyProtection="1">
      <alignment horizontal="center" vertical="center"/>
    </xf>
    <xf numFmtId="2" fontId="16" fillId="43" borderId="182" xfId="0" applyNumberFormat="1" applyFont="1" applyFill="1" applyBorder="1" applyAlignment="1" applyProtection="1">
      <alignment horizontal="center" vertical="center"/>
    </xf>
    <xf numFmtId="2" fontId="16" fillId="43" borderId="58" xfId="0" applyNumberFormat="1" applyFont="1" applyFill="1" applyBorder="1" applyAlignment="1" applyProtection="1">
      <alignment horizontal="center" vertical="center"/>
    </xf>
    <xf numFmtId="1" fontId="0" fillId="43" borderId="91" xfId="0" applyNumberFormat="1" applyFont="1" applyFill="1" applyBorder="1" applyAlignment="1" applyProtection="1">
      <alignment horizontal="center" vertical="center"/>
    </xf>
    <xf numFmtId="169" fontId="16" fillId="0" borderId="53" xfId="0" applyNumberFormat="1" applyFont="1" applyBorder="1" applyAlignment="1" applyProtection="1">
      <alignment horizontal="center" vertical="center"/>
    </xf>
    <xf numFmtId="169" fontId="16" fillId="43" borderId="90" xfId="0" applyNumberFormat="1" applyFont="1" applyFill="1" applyBorder="1" applyAlignment="1" applyProtection="1">
      <alignment horizontal="center" vertical="center"/>
    </xf>
    <xf numFmtId="2" fontId="16" fillId="43" borderId="49" xfId="0" applyNumberFormat="1" applyFont="1" applyFill="1" applyBorder="1" applyAlignment="1" applyProtection="1">
      <alignment horizontal="center" vertical="center" wrapText="1"/>
    </xf>
    <xf numFmtId="1" fontId="14" fillId="55" borderId="49" xfId="0" applyNumberFormat="1" applyFont="1" applyFill="1" applyBorder="1" applyAlignment="1" applyProtection="1">
      <alignment horizontal="center" vertical="center"/>
    </xf>
    <xf numFmtId="2" fontId="16" fillId="43" borderId="89" xfId="0" applyNumberFormat="1" applyFont="1" applyFill="1" applyBorder="1" applyAlignment="1" applyProtection="1">
      <alignment horizontal="center" vertical="center"/>
    </xf>
    <xf numFmtId="1" fontId="14" fillId="55" borderId="0" xfId="0" applyNumberFormat="1" applyFont="1" applyFill="1" applyBorder="1" applyAlignment="1" applyProtection="1">
      <alignment horizontal="center" vertical="center"/>
      <protection locked="0"/>
    </xf>
    <xf numFmtId="1" fontId="16" fillId="43" borderId="53" xfId="0" applyNumberFormat="1" applyFont="1" applyFill="1" applyBorder="1" applyAlignment="1" applyProtection="1">
      <alignment horizontal="center" vertical="center"/>
    </xf>
    <xf numFmtId="3" fontId="14" fillId="55" borderId="0" xfId="0" applyNumberFormat="1" applyFont="1" applyFill="1" applyBorder="1" applyAlignment="1" applyProtection="1">
      <alignment horizontal="center" vertical="center"/>
      <protection locked="0"/>
    </xf>
    <xf numFmtId="2" fontId="16" fillId="43" borderId="88" xfId="0" applyNumberFormat="1" applyFont="1" applyFill="1" applyBorder="1" applyAlignment="1" applyProtection="1">
      <alignment horizontal="center" vertical="center"/>
    </xf>
    <xf numFmtId="169" fontId="16" fillId="43" borderId="57" xfId="0" applyNumberFormat="1" applyFont="1" applyFill="1" applyBorder="1" applyAlignment="1" applyProtection="1">
      <alignment horizontal="center" vertical="center"/>
    </xf>
    <xf numFmtId="169" fontId="16" fillId="43" borderId="50" xfId="0" applyNumberFormat="1" applyFont="1" applyFill="1" applyBorder="1" applyAlignment="1" applyProtection="1">
      <alignment horizontal="center" vertical="center"/>
    </xf>
    <xf numFmtId="2" fontId="16" fillId="43" borderId="134" xfId="0" applyNumberFormat="1" applyFont="1" applyFill="1" applyBorder="1" applyAlignment="1" applyProtection="1">
      <alignment horizontal="center" vertical="center"/>
    </xf>
    <xf numFmtId="2" fontId="16" fillId="43" borderId="76" xfId="0" applyNumberFormat="1" applyFont="1" applyFill="1" applyBorder="1" applyAlignment="1" applyProtection="1">
      <alignment horizontal="center" vertical="center"/>
    </xf>
    <xf numFmtId="169" fontId="16" fillId="43" borderId="182" xfId="0" applyNumberFormat="1" applyFont="1" applyFill="1" applyBorder="1" applyAlignment="1" applyProtection="1">
      <alignment horizontal="center" vertical="center"/>
    </xf>
    <xf numFmtId="169" fontId="16" fillId="43" borderId="58" xfId="0" applyNumberFormat="1" applyFont="1" applyFill="1" applyBorder="1" applyAlignment="1" applyProtection="1">
      <alignment horizontal="center" vertical="center"/>
    </xf>
    <xf numFmtId="169" fontId="14" fillId="55" borderId="0" xfId="0" applyNumberFormat="1" applyFont="1" applyFill="1" applyBorder="1" applyAlignment="1" applyProtection="1">
      <alignment horizontal="center" vertical="center"/>
      <protection locked="0"/>
    </xf>
    <xf numFmtId="1" fontId="14" fillId="55" borderId="56" xfId="0" applyNumberFormat="1" applyFont="1" applyFill="1" applyBorder="1" applyAlignment="1" applyProtection="1">
      <alignment horizontal="center" vertical="center"/>
      <protection locked="0"/>
    </xf>
    <xf numFmtId="2" fontId="0" fillId="43" borderId="88" xfId="0" applyNumberFormat="1" applyFont="1" applyFill="1" applyBorder="1" applyAlignment="1" applyProtection="1">
      <alignment horizontal="center" vertical="center"/>
    </xf>
    <xf numFmtId="2" fontId="0" fillId="43" borderId="134" xfId="0" applyNumberFormat="1" applyFont="1" applyFill="1" applyBorder="1" applyAlignment="1" applyProtection="1">
      <alignment horizontal="center" vertical="center"/>
    </xf>
    <xf numFmtId="169" fontId="14" fillId="55" borderId="56" xfId="0" applyNumberFormat="1" applyFont="1" applyFill="1" applyBorder="1" applyAlignment="1" applyProtection="1">
      <alignment horizontal="center" vertical="center"/>
      <protection locked="0"/>
    </xf>
    <xf numFmtId="2" fontId="14" fillId="55" borderId="56" xfId="0" applyNumberFormat="1" applyFont="1" applyFill="1" applyBorder="1" applyAlignment="1" applyProtection="1">
      <alignment horizontal="center" vertical="center"/>
      <protection locked="0"/>
    </xf>
    <xf numFmtId="169" fontId="16" fillId="43" borderId="53" xfId="0" applyNumberFormat="1" applyFont="1" applyFill="1" applyBorder="1" applyAlignment="1" applyProtection="1">
      <alignment horizontal="center" vertical="center"/>
    </xf>
    <xf numFmtId="169" fontId="16" fillId="43" borderId="88" xfId="0" applyNumberFormat="1" applyFont="1" applyFill="1" applyBorder="1" applyAlignment="1" applyProtection="1">
      <alignment horizontal="center" vertical="center"/>
    </xf>
    <xf numFmtId="1" fontId="16" fillId="50" borderId="80" xfId="0" applyNumberFormat="1" applyFont="1" applyFill="1" applyBorder="1" applyAlignment="1" applyProtection="1">
      <alignment horizontal="center" vertical="center"/>
    </xf>
    <xf numFmtId="1" fontId="16" fillId="50" borderId="58" xfId="0" applyNumberFormat="1" applyFont="1" applyFill="1" applyBorder="1" applyAlignment="1" applyProtection="1">
      <alignment horizontal="center" vertical="center"/>
    </xf>
    <xf numFmtId="2" fontId="0" fillId="96" borderId="88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9" fillId="60" borderId="0" xfId="0" applyFont="1" applyFill="1" applyBorder="1" applyAlignment="1" applyProtection="1">
      <alignment horizontal="center" vertical="center"/>
      <protection locked="0"/>
    </xf>
    <xf numFmtId="3" fontId="4" fillId="0" borderId="200" xfId="0" applyNumberFormat="1" applyFont="1" applyBorder="1" applyAlignment="1" applyProtection="1">
      <alignment horizontal="center"/>
    </xf>
    <xf numFmtId="169" fontId="6" fillId="0" borderId="200" xfId="0" quotePrefix="1" applyNumberFormat="1" applyFont="1" applyBorder="1" applyAlignment="1" applyProtection="1">
      <alignment horizontal="center"/>
      <protection locked="0"/>
    </xf>
    <xf numFmtId="3" fontId="6" fillId="0" borderId="200" xfId="1" applyNumberFormat="1" applyFont="1" applyBorder="1" applyAlignment="1" applyProtection="1">
      <alignment horizontal="right"/>
    </xf>
    <xf numFmtId="49" fontId="100" fillId="0" borderId="81" xfId="0" applyNumberFormat="1" applyFont="1" applyBorder="1" applyAlignment="1">
      <alignment horizontal="center" vertical="center"/>
    </xf>
    <xf numFmtId="0" fontId="101" fillId="0" borderId="142" xfId="0" applyFont="1" applyBorder="1" applyAlignment="1">
      <alignment horizontal="left" vertical="center"/>
    </xf>
    <xf numFmtId="1" fontId="102" fillId="0" borderId="27" xfId="5" applyNumberFormat="1" applyFont="1" applyBorder="1" applyAlignment="1" applyProtection="1">
      <alignment horizontal="center"/>
      <protection locked="0"/>
    </xf>
    <xf numFmtId="173" fontId="101" fillId="0" borderId="139" xfId="0" applyNumberFormat="1" applyFont="1" applyBorder="1" applyAlignment="1">
      <alignment horizontal="center" vertical="center"/>
    </xf>
    <xf numFmtId="0" fontId="101" fillId="43" borderId="141" xfId="0" applyFont="1" applyFill="1" applyBorder="1" applyAlignment="1">
      <alignment horizontal="center" vertical="center"/>
    </xf>
    <xf numFmtId="3" fontId="4" fillId="0" borderId="141" xfId="0" applyNumberFormat="1" applyFont="1" applyBorder="1" applyAlignment="1" applyProtection="1">
      <alignment horizontal="center" vertical="center"/>
    </xf>
    <xf numFmtId="2" fontId="16" fillId="43" borderId="108" xfId="0" applyNumberFormat="1" applyFont="1" applyFill="1" applyBorder="1" applyAlignment="1" applyProtection="1">
      <alignment horizontal="center" vertical="center"/>
    </xf>
    <xf numFmtId="1" fontId="0" fillId="43" borderId="108" xfId="0" applyNumberFormat="1" applyFont="1" applyFill="1" applyBorder="1" applyAlignment="1" applyProtection="1">
      <alignment horizontal="center" vertical="center"/>
    </xf>
    <xf numFmtId="1" fontId="16" fillId="43" borderId="140" xfId="0" applyNumberFormat="1" applyFont="1" applyFill="1" applyBorder="1" applyAlignment="1" applyProtection="1">
      <alignment horizontal="center" vertical="center"/>
    </xf>
    <xf numFmtId="4" fontId="14" fillId="25" borderId="211" xfId="0" applyNumberFormat="1" applyFont="1" applyFill="1" applyBorder="1" applyAlignment="1" applyProtection="1">
      <alignment horizontal="center"/>
    </xf>
    <xf numFmtId="4" fontId="5" fillId="22" borderId="212" xfId="0" applyNumberFormat="1" applyFont="1" applyFill="1" applyBorder="1" applyAlignment="1" applyProtection="1">
      <alignment horizontal="center"/>
    </xf>
    <xf numFmtId="167" fontId="15" fillId="11" borderId="213" xfId="0" quotePrefix="1" applyNumberFormat="1" applyFont="1" applyFill="1" applyBorder="1" applyAlignment="1" applyProtection="1">
      <alignment horizontal="center"/>
    </xf>
    <xf numFmtId="2" fontId="14" fillId="16" borderId="42" xfId="0" quotePrefix="1" applyNumberFormat="1" applyFont="1" applyFill="1" applyBorder="1" applyAlignment="1" applyProtection="1">
      <alignment horizontal="center"/>
    </xf>
    <xf numFmtId="14" fontId="71" fillId="41" borderId="214" xfId="0" applyNumberFormat="1" applyFont="1" applyFill="1" applyBorder="1" applyAlignment="1">
      <alignment horizontal="center"/>
    </xf>
    <xf numFmtId="0" fontId="4" fillId="6" borderId="138" xfId="0" applyFont="1" applyFill="1" applyBorder="1" applyAlignment="1" applyProtection="1">
      <alignment horizontal="center"/>
    </xf>
    <xf numFmtId="168" fontId="4" fillId="6" borderId="138" xfId="0" applyNumberFormat="1" applyFont="1" applyFill="1" applyBorder="1" applyAlignment="1" applyProtection="1">
      <alignment horizontal="center"/>
    </xf>
    <xf numFmtId="171" fontId="4" fillId="6" borderId="138" xfId="0" applyNumberFormat="1" applyFont="1" applyFill="1" applyBorder="1" applyAlignment="1" applyProtection="1">
      <alignment horizontal="center"/>
    </xf>
    <xf numFmtId="49" fontId="100" fillId="0" borderId="215" xfId="0" applyNumberFormat="1" applyFont="1" applyBorder="1" applyAlignment="1">
      <alignment horizontal="center" vertical="center"/>
    </xf>
    <xf numFmtId="0" fontId="101" fillId="0" borderId="215" xfId="0" applyFont="1" applyBorder="1" applyAlignment="1">
      <alignment horizontal="left" vertical="center"/>
    </xf>
    <xf numFmtId="1" fontId="102" fillId="0" borderId="215" xfId="5" applyNumberFormat="1" applyFont="1" applyBorder="1" applyAlignment="1" applyProtection="1">
      <alignment horizontal="center"/>
      <protection locked="0"/>
    </xf>
    <xf numFmtId="173" fontId="101" fillId="0" borderId="215" xfId="0" applyNumberFormat="1" applyFont="1" applyBorder="1" applyAlignment="1">
      <alignment horizontal="center" vertical="center"/>
    </xf>
    <xf numFmtId="0" fontId="101" fillId="43" borderId="215" xfId="0" applyFont="1" applyFill="1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2" fontId="16" fillId="43" borderId="215" xfId="0" applyNumberFormat="1" applyFont="1" applyFill="1" applyBorder="1" applyAlignment="1" applyProtection="1">
      <alignment horizontal="center" vertical="center"/>
    </xf>
    <xf numFmtId="1" fontId="0" fillId="43" borderId="215" xfId="0" applyNumberFormat="1" applyFont="1" applyFill="1" applyBorder="1" applyAlignment="1" applyProtection="1">
      <alignment horizontal="center" vertical="center"/>
    </xf>
    <xf numFmtId="1" fontId="16" fillId="43" borderId="215" xfId="0" applyNumberFormat="1" applyFont="1" applyFill="1" applyBorder="1" applyAlignment="1" applyProtection="1">
      <alignment horizontal="center" vertical="center"/>
    </xf>
    <xf numFmtId="169" fontId="16" fillId="43" borderId="215" xfId="0" applyNumberFormat="1" applyFont="1" applyFill="1" applyBorder="1" applyAlignment="1" applyProtection="1">
      <alignment horizontal="center" vertical="center"/>
    </xf>
    <xf numFmtId="4" fontId="14" fillId="25" borderId="215" xfId="0" applyNumberFormat="1" applyFont="1" applyFill="1" applyBorder="1" applyAlignment="1" applyProtection="1">
      <alignment horizontal="center"/>
    </xf>
    <xf numFmtId="4" fontId="5" fillId="22" borderId="215" xfId="0" applyNumberFormat="1" applyFont="1" applyFill="1" applyBorder="1" applyAlignment="1" applyProtection="1">
      <alignment horizontal="center"/>
    </xf>
    <xf numFmtId="167" fontId="15" fillId="11" borderId="215" xfId="0" quotePrefix="1" applyNumberFormat="1" applyFont="1" applyFill="1" applyBorder="1" applyAlignment="1" applyProtection="1">
      <alignment horizontal="center"/>
    </xf>
    <xf numFmtId="1" fontId="7" fillId="11" borderId="215" xfId="0" applyNumberFormat="1" applyFont="1" applyFill="1" applyBorder="1" applyAlignment="1" applyProtection="1">
      <alignment horizontal="center"/>
    </xf>
    <xf numFmtId="2" fontId="14" fillId="16" borderId="215" xfId="0" quotePrefix="1" applyNumberFormat="1" applyFont="1" applyFill="1" applyBorder="1" applyAlignment="1" applyProtection="1">
      <alignment horizontal="center"/>
    </xf>
    <xf numFmtId="14" fontId="71" fillId="41" borderId="215" xfId="0" applyNumberFormat="1" applyFont="1" applyFill="1" applyBorder="1" applyAlignment="1">
      <alignment horizontal="center"/>
    </xf>
    <xf numFmtId="0" fontId="4" fillId="6" borderId="215" xfId="0" applyFont="1" applyFill="1" applyBorder="1" applyAlignment="1" applyProtection="1">
      <alignment horizontal="center"/>
    </xf>
    <xf numFmtId="168" fontId="4" fillId="6" borderId="215" xfId="0" applyNumberFormat="1" applyFont="1" applyFill="1" applyBorder="1" applyAlignment="1" applyProtection="1">
      <alignment horizontal="center"/>
    </xf>
    <xf numFmtId="171" fontId="4" fillId="6" borderId="215" xfId="0" applyNumberFormat="1" applyFont="1" applyFill="1" applyBorder="1" applyAlignment="1" applyProtection="1">
      <alignment horizontal="center"/>
    </xf>
    <xf numFmtId="169" fontId="14" fillId="29" borderId="201" xfId="0" applyNumberFormat="1" applyFont="1" applyFill="1" applyBorder="1" applyAlignment="1" applyProtection="1">
      <alignment horizontal="center" vertical="center"/>
      <protection locked="0"/>
    </xf>
    <xf numFmtId="169" fontId="14" fillId="29" borderId="219" xfId="0" applyNumberFormat="1" applyFont="1" applyFill="1" applyBorder="1" applyAlignment="1" applyProtection="1">
      <alignment horizontal="center" vertical="center"/>
      <protection locked="0"/>
    </xf>
    <xf numFmtId="169" fontId="14" fillId="29" borderId="208" xfId="0" applyNumberFormat="1" applyFont="1" applyFill="1" applyBorder="1" applyAlignment="1" applyProtection="1">
      <alignment horizontal="center" vertical="center"/>
      <protection locked="0"/>
    </xf>
    <xf numFmtId="169" fontId="14" fillId="29" borderId="202" xfId="0" applyNumberFormat="1" applyFont="1" applyFill="1" applyBorder="1" applyAlignment="1" applyProtection="1">
      <alignment horizontal="center" vertical="center"/>
      <protection locked="0"/>
    </xf>
    <xf numFmtId="169" fontId="17" fillId="29" borderId="114" xfId="0" applyNumberFormat="1" applyFont="1" applyFill="1" applyBorder="1" applyAlignment="1" applyProtection="1">
      <alignment horizontal="center" vertical="center"/>
      <protection locked="0"/>
    </xf>
    <xf numFmtId="169" fontId="17" fillId="29" borderId="220" xfId="0" applyNumberFormat="1" applyFont="1" applyFill="1" applyBorder="1" applyAlignment="1" applyProtection="1">
      <alignment horizontal="center" vertical="center"/>
      <protection locked="0"/>
    </xf>
    <xf numFmtId="1" fontId="14" fillId="29" borderId="221" xfId="0" applyNumberFormat="1" applyFont="1" applyFill="1" applyBorder="1" applyAlignment="1" applyProtection="1">
      <alignment horizontal="center" vertical="center"/>
      <protection locked="0"/>
    </xf>
    <xf numFmtId="169" fontId="14" fillId="29" borderId="222" xfId="0" applyNumberFormat="1" applyFont="1" applyFill="1" applyBorder="1" applyAlignment="1" applyProtection="1">
      <alignment horizontal="center" vertical="center"/>
      <protection locked="0"/>
    </xf>
    <xf numFmtId="169" fontId="14" fillId="29" borderId="223" xfId="0" applyNumberFormat="1" applyFont="1" applyFill="1" applyBorder="1" applyAlignment="1" applyProtection="1">
      <alignment horizontal="center" vertical="center"/>
      <protection locked="0"/>
    </xf>
    <xf numFmtId="169" fontId="17" fillId="29" borderId="221" xfId="0" applyNumberFormat="1" applyFont="1" applyFill="1" applyBorder="1" applyAlignment="1" applyProtection="1">
      <alignment horizontal="center" vertical="center"/>
      <protection locked="0"/>
    </xf>
    <xf numFmtId="169" fontId="17" fillId="29" borderId="222" xfId="0" applyNumberFormat="1" applyFont="1" applyFill="1" applyBorder="1" applyAlignment="1" applyProtection="1">
      <alignment horizontal="center" vertical="center"/>
      <protection locked="0"/>
    </xf>
    <xf numFmtId="169" fontId="17" fillId="29" borderId="223" xfId="0" applyNumberFormat="1" applyFont="1" applyFill="1" applyBorder="1" applyAlignment="1" applyProtection="1">
      <alignment horizontal="center" vertical="center"/>
      <protection locked="0"/>
    </xf>
    <xf numFmtId="167" fontId="14" fillId="29" borderId="70" xfId="0" applyNumberFormat="1" applyFont="1" applyFill="1" applyBorder="1" applyAlignment="1" applyProtection="1">
      <alignment vertical="center"/>
    </xf>
    <xf numFmtId="169" fontId="14" fillId="29" borderId="210" xfId="0" applyNumberFormat="1" applyFont="1" applyFill="1" applyBorder="1" applyAlignment="1" applyProtection="1">
      <alignment horizontal="center" vertical="center"/>
      <protection locked="0"/>
    </xf>
    <xf numFmtId="169" fontId="14" fillId="29" borderId="161" xfId="0" applyNumberFormat="1" applyFont="1" applyFill="1" applyBorder="1" applyAlignment="1" applyProtection="1">
      <alignment horizontal="center" vertical="center"/>
      <protection locked="0"/>
    </xf>
    <xf numFmtId="14" fontId="100" fillId="43" borderId="76" xfId="0" applyNumberFormat="1" applyFont="1" applyFill="1" applyBorder="1" applyAlignment="1">
      <alignment horizontal="center" vertical="center"/>
    </xf>
    <xf numFmtId="0" fontId="100" fillId="43" borderId="76" xfId="0" applyFont="1" applyFill="1" applyBorder="1" applyAlignment="1">
      <alignment horizontal="left" vertical="center"/>
    </xf>
    <xf numFmtId="2" fontId="4" fillId="43" borderId="49" xfId="0" applyNumberFormat="1" applyFont="1" applyFill="1" applyBorder="1" applyAlignment="1" applyProtection="1">
      <alignment horizontal="center" vertical="center"/>
    </xf>
    <xf numFmtId="0" fontId="100" fillId="0" borderId="81" xfId="5" applyFont="1" applyBorder="1" applyAlignment="1" applyProtection="1">
      <alignment horizontal="center" vertical="center"/>
      <protection locked="0"/>
    </xf>
    <xf numFmtId="1" fontId="100" fillId="0" borderId="215" xfId="5" applyNumberFormat="1" applyFont="1" applyBorder="1" applyAlignment="1" applyProtection="1">
      <alignment horizontal="center"/>
      <protection locked="0"/>
    </xf>
    <xf numFmtId="0" fontId="100" fillId="0" borderId="215" xfId="5" applyFont="1" applyBorder="1" applyAlignment="1" applyProtection="1">
      <alignment horizontal="center" vertical="center"/>
      <protection locked="0"/>
    </xf>
    <xf numFmtId="1" fontId="100" fillId="0" borderId="182" xfId="5" applyNumberFormat="1" applyFont="1" applyBorder="1" applyAlignment="1" applyProtection="1">
      <alignment horizontal="center"/>
      <protection locked="0"/>
    </xf>
    <xf numFmtId="0" fontId="99" fillId="60" borderId="206" xfId="0" applyFont="1" applyFill="1" applyBorder="1" applyAlignment="1" applyProtection="1">
      <alignment horizontal="center" vertical="center"/>
      <protection locked="0"/>
    </xf>
    <xf numFmtId="49" fontId="100" fillId="0" borderId="224" xfId="0" applyNumberFormat="1" applyFont="1" applyBorder="1" applyAlignment="1">
      <alignment horizontal="center" vertical="center"/>
    </xf>
    <xf numFmtId="0" fontId="101" fillId="0" borderId="224" xfId="0" applyFont="1" applyBorder="1" applyAlignment="1">
      <alignment horizontal="left" vertical="center"/>
    </xf>
    <xf numFmtId="1" fontId="102" fillId="0" borderId="224" xfId="5" applyNumberFormat="1" applyFont="1" applyBorder="1" applyAlignment="1" applyProtection="1">
      <alignment horizontal="center"/>
      <protection locked="0"/>
    </xf>
    <xf numFmtId="173" fontId="101" fillId="0" borderId="224" xfId="0" applyNumberFormat="1" applyFont="1" applyBorder="1" applyAlignment="1">
      <alignment horizontal="center" vertical="center"/>
    </xf>
    <xf numFmtId="0" fontId="101" fillId="43" borderId="224" xfId="0" applyFont="1" applyFill="1" applyBorder="1" applyAlignment="1">
      <alignment horizontal="center" vertical="center"/>
    </xf>
    <xf numFmtId="0" fontId="0" fillId="0" borderId="224" xfId="0" applyBorder="1" applyAlignment="1">
      <alignment horizontal="center" vertical="center"/>
    </xf>
    <xf numFmtId="2" fontId="16" fillId="43" borderId="224" xfId="0" applyNumberFormat="1" applyFont="1" applyFill="1" applyBorder="1" applyAlignment="1" applyProtection="1">
      <alignment horizontal="center" vertical="center"/>
    </xf>
    <xf numFmtId="1" fontId="0" fillId="43" borderId="224" xfId="0" applyNumberFormat="1" applyFont="1" applyFill="1" applyBorder="1" applyAlignment="1" applyProtection="1">
      <alignment horizontal="center" vertical="center"/>
    </xf>
    <xf numFmtId="1" fontId="16" fillId="43" borderId="224" xfId="0" applyNumberFormat="1" applyFont="1" applyFill="1" applyBorder="1" applyAlignment="1" applyProtection="1">
      <alignment horizontal="center" vertical="center"/>
    </xf>
    <xf numFmtId="169" fontId="16" fillId="43" borderId="224" xfId="0" applyNumberFormat="1" applyFont="1" applyFill="1" applyBorder="1" applyAlignment="1" applyProtection="1">
      <alignment horizontal="center" vertical="center"/>
    </xf>
    <xf numFmtId="4" fontId="14" fillId="25" borderId="224" xfId="0" applyNumberFormat="1" applyFont="1" applyFill="1" applyBorder="1" applyAlignment="1" applyProtection="1">
      <alignment horizontal="center"/>
    </xf>
    <xf numFmtId="4" fontId="5" fillId="22" borderId="224" xfId="0" applyNumberFormat="1" applyFont="1" applyFill="1" applyBorder="1" applyAlignment="1" applyProtection="1">
      <alignment horizontal="center"/>
    </xf>
    <xf numFmtId="167" fontId="15" fillId="11" borderId="224" xfId="0" quotePrefix="1" applyNumberFormat="1" applyFont="1" applyFill="1" applyBorder="1" applyAlignment="1" applyProtection="1">
      <alignment horizontal="center"/>
    </xf>
    <xf numFmtId="1" fontId="7" fillId="11" borderId="224" xfId="0" applyNumberFormat="1" applyFont="1" applyFill="1" applyBorder="1" applyAlignment="1" applyProtection="1">
      <alignment horizontal="center"/>
    </xf>
    <xf numFmtId="2" fontId="14" fillId="16" borderId="224" xfId="0" quotePrefix="1" applyNumberFormat="1" applyFont="1" applyFill="1" applyBorder="1" applyAlignment="1" applyProtection="1">
      <alignment horizontal="center"/>
    </xf>
    <xf numFmtId="14" fontId="71" fillId="41" borderId="224" xfId="0" applyNumberFormat="1" applyFont="1" applyFill="1" applyBorder="1" applyAlignment="1">
      <alignment horizontal="center"/>
    </xf>
    <xf numFmtId="0" fontId="4" fillId="6" borderId="224" xfId="0" applyFont="1" applyFill="1" applyBorder="1" applyAlignment="1" applyProtection="1">
      <alignment horizontal="center"/>
    </xf>
    <xf numFmtId="168" fontId="4" fillId="6" borderId="224" xfId="0" applyNumberFormat="1" applyFont="1" applyFill="1" applyBorder="1" applyAlignment="1" applyProtection="1">
      <alignment horizontal="center"/>
    </xf>
    <xf numFmtId="171" fontId="4" fillId="6" borderId="224" xfId="0" applyNumberFormat="1" applyFont="1" applyFill="1" applyBorder="1" applyAlignment="1" applyProtection="1">
      <alignment horizontal="center"/>
    </xf>
    <xf numFmtId="1" fontId="100" fillId="0" borderId="224" xfId="5" applyNumberFormat="1" applyFont="1" applyBorder="1" applyAlignment="1" applyProtection="1">
      <alignment horizontal="center"/>
      <protection locked="0"/>
    </xf>
    <xf numFmtId="0" fontId="100" fillId="0" borderId="224" xfId="5" applyFont="1" applyBorder="1" applyAlignment="1" applyProtection="1">
      <alignment horizontal="center" vertical="center"/>
      <protection locked="0"/>
    </xf>
    <xf numFmtId="0" fontId="100" fillId="97" borderId="77" xfId="5" applyFont="1" applyFill="1" applyBorder="1" applyAlignment="1" applyProtection="1">
      <alignment horizontal="center" vertical="center"/>
      <protection locked="0"/>
    </xf>
    <xf numFmtId="0" fontId="99" fillId="98" borderId="76" xfId="0" applyFont="1" applyFill="1" applyBorder="1" applyAlignment="1" applyProtection="1">
      <alignment horizontal="center" vertical="center"/>
      <protection locked="0"/>
    </xf>
    <xf numFmtId="49" fontId="100" fillId="97" borderId="77" xfId="0" applyNumberFormat="1" applyFont="1" applyFill="1" applyBorder="1" applyAlignment="1">
      <alignment horizontal="center" vertical="center"/>
    </xf>
    <xf numFmtId="0" fontId="101" fillId="97" borderId="76" xfId="0" applyFont="1" applyFill="1" applyBorder="1" applyAlignment="1">
      <alignment horizontal="left" vertical="center"/>
    </xf>
    <xf numFmtId="1" fontId="100" fillId="97" borderId="10" xfId="5" applyNumberFormat="1" applyFont="1" applyFill="1" applyBorder="1" applyAlignment="1" applyProtection="1">
      <alignment horizontal="center"/>
      <protection locked="0"/>
    </xf>
    <xf numFmtId="0" fontId="100" fillId="97" borderId="86" xfId="0" applyFont="1" applyFill="1" applyBorder="1" applyAlignment="1">
      <alignment horizontal="center" vertical="center"/>
    </xf>
    <xf numFmtId="3" fontId="0" fillId="97" borderId="88" xfId="0" applyNumberFormat="1" applyFont="1" applyFill="1" applyBorder="1" applyAlignment="1" applyProtection="1">
      <alignment horizontal="center" vertical="center"/>
    </xf>
    <xf numFmtId="0" fontId="0" fillId="97" borderId="57" xfId="0" applyFont="1" applyFill="1" applyBorder="1" applyAlignment="1">
      <alignment horizontal="center" vertical="center"/>
    </xf>
    <xf numFmtId="0" fontId="0" fillId="97" borderId="0" xfId="0" applyFill="1" applyAlignment="1">
      <alignment horizontal="center"/>
    </xf>
    <xf numFmtId="2" fontId="16" fillId="97" borderId="57" xfId="0" applyNumberFormat="1" applyFont="1" applyFill="1" applyBorder="1" applyAlignment="1" applyProtection="1">
      <alignment horizontal="center" vertical="center"/>
    </xf>
    <xf numFmtId="1" fontId="16" fillId="97" borderId="57" xfId="0" applyNumberFormat="1" applyFont="1" applyFill="1" applyBorder="1" applyAlignment="1" applyProtection="1">
      <alignment horizontal="center" vertical="center"/>
    </xf>
    <xf numFmtId="1" fontId="16" fillId="97" borderId="80" xfId="0" applyNumberFormat="1" applyFont="1" applyFill="1" applyBorder="1" applyAlignment="1" applyProtection="1">
      <alignment horizontal="center" vertical="center"/>
    </xf>
    <xf numFmtId="169" fontId="16" fillId="97" borderId="53" xfId="0" applyNumberFormat="1" applyFont="1" applyFill="1" applyBorder="1" applyAlignment="1" applyProtection="1">
      <alignment horizontal="center" vertical="center"/>
    </xf>
    <xf numFmtId="1" fontId="16" fillId="97" borderId="53" xfId="0" applyNumberFormat="1" applyFont="1" applyFill="1" applyBorder="1" applyAlignment="1" applyProtection="1">
      <alignment horizontal="center" vertical="center"/>
    </xf>
    <xf numFmtId="1" fontId="16" fillId="97" borderId="49" xfId="0" applyNumberFormat="1" applyFont="1" applyFill="1" applyBorder="1" applyAlignment="1" applyProtection="1">
      <alignment horizontal="center" vertical="center"/>
    </xf>
    <xf numFmtId="4" fontId="14" fillId="97" borderId="149" xfId="0" applyNumberFormat="1" applyFont="1" applyFill="1" applyBorder="1" applyAlignment="1" applyProtection="1">
      <alignment horizontal="center"/>
    </xf>
    <xf numFmtId="4" fontId="5" fillId="97" borderId="149" xfId="0" applyNumberFormat="1" applyFont="1" applyFill="1" applyBorder="1" applyAlignment="1" applyProtection="1">
      <alignment horizontal="center"/>
    </xf>
    <xf numFmtId="167" fontId="15" fillId="99" borderId="85" xfId="0" quotePrefix="1" applyNumberFormat="1" applyFont="1" applyFill="1" applyBorder="1" applyAlignment="1" applyProtection="1">
      <alignment horizontal="center"/>
    </xf>
    <xf numFmtId="1" fontId="7" fillId="99" borderId="49" xfId="0" applyNumberFormat="1" applyFont="1" applyFill="1" applyBorder="1" applyAlignment="1" applyProtection="1">
      <alignment horizontal="center"/>
    </xf>
    <xf numFmtId="2" fontId="14" fillId="98" borderId="84" xfId="0" quotePrefix="1" applyNumberFormat="1" applyFont="1" applyFill="1" applyBorder="1" applyAlignment="1" applyProtection="1">
      <alignment horizontal="center"/>
    </xf>
    <xf numFmtId="14" fontId="122" fillId="0" borderId="76" xfId="0" applyNumberFormat="1" applyFont="1" applyFill="1" applyBorder="1" applyAlignment="1">
      <alignment horizontal="center" vertical="center"/>
    </xf>
    <xf numFmtId="0" fontId="122" fillId="0" borderId="77" xfId="0" applyFont="1" applyFill="1" applyBorder="1" applyAlignment="1">
      <alignment horizontal="center" vertical="center"/>
    </xf>
    <xf numFmtId="0" fontId="122" fillId="0" borderId="85" xfId="0" applyFont="1" applyFill="1" applyBorder="1" applyAlignment="1">
      <alignment vertical="center"/>
    </xf>
    <xf numFmtId="0" fontId="122" fillId="0" borderId="49" xfId="0" applyFont="1" applyFill="1" applyBorder="1" applyAlignment="1">
      <alignment horizontal="center" vertical="center"/>
    </xf>
    <xf numFmtId="49" fontId="100" fillId="0" borderId="182" xfId="0" applyNumberFormat="1" applyFont="1" applyBorder="1" applyAlignment="1">
      <alignment horizontal="center" vertical="center"/>
    </xf>
    <xf numFmtId="49" fontId="100" fillId="0" borderId="58" xfId="0" applyNumberFormat="1" applyFont="1" applyBorder="1" applyAlignment="1">
      <alignment horizontal="center" vertical="center"/>
    </xf>
    <xf numFmtId="0" fontId="14" fillId="95" borderId="195" xfId="0" applyFont="1" applyFill="1" applyBorder="1" applyAlignment="1" applyProtection="1">
      <alignment horizontal="left" vertical="center"/>
    </xf>
    <xf numFmtId="0" fontId="99" fillId="100" borderId="76" xfId="0" applyFont="1" applyFill="1" applyBorder="1" applyAlignment="1" applyProtection="1">
      <alignment horizontal="center" vertical="center"/>
      <protection locked="0"/>
    </xf>
    <xf numFmtId="49" fontId="100" fillId="94" borderId="77" xfId="0" applyNumberFormat="1" applyFont="1" applyFill="1" applyBorder="1" applyAlignment="1">
      <alignment horizontal="center" vertical="center"/>
    </xf>
    <xf numFmtId="0" fontId="101" fillId="94" borderId="76" xfId="0" applyFont="1" applyFill="1" applyBorder="1" applyAlignment="1">
      <alignment horizontal="left" vertical="center"/>
    </xf>
    <xf numFmtId="1" fontId="100" fillId="94" borderId="10" xfId="5" applyNumberFormat="1" applyFont="1" applyFill="1" applyBorder="1" applyAlignment="1" applyProtection="1">
      <alignment horizontal="center"/>
      <protection locked="0"/>
    </xf>
    <xf numFmtId="0" fontId="100" fillId="94" borderId="77" xfId="5" applyFont="1" applyFill="1" applyBorder="1" applyAlignment="1" applyProtection="1">
      <alignment horizontal="center" vertical="center"/>
      <protection locked="0"/>
    </xf>
    <xf numFmtId="14" fontId="101" fillId="94" borderId="76" xfId="0" applyNumberFormat="1" applyFont="1" applyFill="1" applyBorder="1" applyAlignment="1">
      <alignment horizontal="center" vertical="center"/>
    </xf>
    <xf numFmtId="0" fontId="101" fillId="94" borderId="77" xfId="0" applyFont="1" applyFill="1" applyBorder="1" applyAlignment="1">
      <alignment horizontal="center" vertical="center"/>
    </xf>
    <xf numFmtId="0" fontId="101" fillId="94" borderId="85" xfId="0" applyFont="1" applyFill="1" applyBorder="1" applyAlignment="1">
      <alignment vertical="center"/>
    </xf>
    <xf numFmtId="0" fontId="101" fillId="94" borderId="49" xfId="0" applyFont="1" applyFill="1" applyBorder="1" applyAlignment="1">
      <alignment horizontal="center" vertical="center"/>
    </xf>
    <xf numFmtId="0" fontId="100" fillId="94" borderId="86" xfId="0" applyFont="1" applyFill="1" applyBorder="1" applyAlignment="1">
      <alignment horizontal="center" vertical="center"/>
    </xf>
    <xf numFmtId="3" fontId="0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ont="1" applyFill="1" applyBorder="1" applyAlignment="1">
      <alignment horizontal="center" vertical="center"/>
    </xf>
    <xf numFmtId="0" fontId="0" fillId="94" borderId="0" xfId="0" applyFill="1" applyAlignment="1">
      <alignment horizontal="center"/>
    </xf>
    <xf numFmtId="2" fontId="16" fillId="94" borderId="57" xfId="0" applyNumberFormat="1" applyFont="1" applyFill="1" applyBorder="1" applyAlignment="1" applyProtection="1">
      <alignment horizontal="center" vertical="center"/>
    </xf>
    <xf numFmtId="1" fontId="16" fillId="94" borderId="80" xfId="0" applyNumberFormat="1" applyFont="1" applyFill="1" applyBorder="1" applyAlignment="1" applyProtection="1">
      <alignment horizontal="center" vertical="center"/>
    </xf>
    <xf numFmtId="3" fontId="4" fillId="94" borderId="88" xfId="0" applyNumberFormat="1" applyFont="1" applyFill="1" applyBorder="1" applyAlignment="1" applyProtection="1">
      <alignment horizontal="center" vertical="center"/>
    </xf>
    <xf numFmtId="0" fontId="0" fillId="94" borderId="57" xfId="0" applyFill="1" applyBorder="1" applyAlignment="1">
      <alignment horizontal="center" vertical="center"/>
    </xf>
    <xf numFmtId="1" fontId="16" fillId="94" borderId="91" xfId="0" applyNumberFormat="1" applyFont="1" applyFill="1" applyBorder="1" applyAlignment="1" applyProtection="1">
      <alignment horizontal="center" vertical="center"/>
    </xf>
    <xf numFmtId="49" fontId="100" fillId="94" borderId="215" xfId="0" applyNumberFormat="1" applyFont="1" applyFill="1" applyBorder="1" applyAlignment="1">
      <alignment horizontal="center" vertical="center"/>
    </xf>
    <xf numFmtId="0" fontId="101" fillId="94" borderId="215" xfId="0" applyFont="1" applyFill="1" applyBorder="1" applyAlignment="1">
      <alignment horizontal="left" vertical="center"/>
    </xf>
    <xf numFmtId="1" fontId="102" fillId="94" borderId="215" xfId="5" applyNumberFormat="1" applyFont="1" applyFill="1" applyBorder="1" applyAlignment="1" applyProtection="1">
      <alignment horizontal="center"/>
      <protection locked="0"/>
    </xf>
    <xf numFmtId="0" fontId="102" fillId="94" borderId="215" xfId="5" applyFont="1" applyFill="1" applyBorder="1" applyAlignment="1" applyProtection="1">
      <alignment horizontal="center" vertical="center"/>
      <protection locked="0"/>
    </xf>
    <xf numFmtId="0" fontId="100" fillId="94" borderId="217" xfId="0" applyFont="1" applyFill="1" applyBorder="1" applyAlignment="1">
      <alignment horizontal="center"/>
    </xf>
    <xf numFmtId="0" fontId="100" fillId="94" borderId="218" xfId="0" applyFont="1" applyFill="1" applyBorder="1" applyAlignment="1">
      <alignment horizontal="center"/>
    </xf>
    <xf numFmtId="0" fontId="100" fillId="94" borderId="216" xfId="0" applyFont="1" applyFill="1" applyBorder="1" applyAlignment="1">
      <alignment horizontal="center"/>
    </xf>
    <xf numFmtId="173" fontId="101" fillId="94" borderId="215" xfId="0" applyNumberFormat="1" applyFont="1" applyFill="1" applyBorder="1" applyAlignment="1">
      <alignment horizontal="center" vertical="center"/>
    </xf>
    <xf numFmtId="0" fontId="101" fillId="94" borderId="215" xfId="0" applyFont="1" applyFill="1" applyBorder="1" applyAlignment="1">
      <alignment horizontal="center" vertical="center"/>
    </xf>
    <xf numFmtId="3" fontId="4" fillId="94" borderId="215" xfId="0" applyNumberFormat="1" applyFont="1" applyFill="1" applyBorder="1" applyAlignment="1" applyProtection="1">
      <alignment horizontal="center" vertical="center"/>
    </xf>
    <xf numFmtId="0" fontId="0" fillId="94" borderId="215" xfId="0" applyFill="1" applyBorder="1" applyAlignment="1">
      <alignment horizontal="center" vertical="center"/>
    </xf>
    <xf numFmtId="0" fontId="2" fillId="94" borderId="215" xfId="243" applyFill="1" applyBorder="1" applyAlignment="1">
      <alignment horizontal="left"/>
    </xf>
    <xf numFmtId="2" fontId="16" fillId="94" borderId="215" xfId="0" applyNumberFormat="1" applyFont="1" applyFill="1" applyBorder="1" applyAlignment="1" applyProtection="1">
      <alignment horizontal="center" vertical="center"/>
    </xf>
    <xf numFmtId="1" fontId="0" fillId="94" borderId="215" xfId="0" applyNumberFormat="1" applyFont="1" applyFill="1" applyBorder="1" applyAlignment="1" applyProtection="1">
      <alignment horizontal="center" vertical="center"/>
    </xf>
    <xf numFmtId="1" fontId="16" fillId="94" borderId="215" xfId="0" applyNumberFormat="1" applyFont="1" applyFill="1" applyBorder="1" applyAlignment="1" applyProtection="1">
      <alignment horizontal="center" vertical="center"/>
    </xf>
    <xf numFmtId="1" fontId="14" fillId="29" borderId="49" xfId="0" applyNumberFormat="1" applyFont="1" applyFill="1" applyBorder="1" applyAlignment="1" applyProtection="1">
      <alignment horizontal="center" vertical="center"/>
      <protection locked="0"/>
    </xf>
    <xf numFmtId="14" fontId="123" fillId="97" borderId="76" xfId="0" applyNumberFormat="1" applyFont="1" applyFill="1" applyBorder="1" applyAlignment="1">
      <alignment horizontal="center" vertical="center"/>
    </xf>
    <xf numFmtId="0" fontId="7" fillId="97" borderId="0" xfId="0" applyFont="1" applyFill="1"/>
    <xf numFmtId="0" fontId="123" fillId="97" borderId="77" xfId="0" applyFont="1" applyFill="1" applyBorder="1" applyAlignment="1">
      <alignment horizontal="center" vertical="center"/>
    </xf>
    <xf numFmtId="0" fontId="124" fillId="97" borderId="49" xfId="0" applyFont="1" applyFill="1" applyBorder="1" applyAlignment="1">
      <alignment horizontal="center" vertical="center"/>
    </xf>
    <xf numFmtId="0" fontId="125" fillId="97" borderId="77" xfId="0" applyFont="1" applyFill="1" applyBorder="1" applyAlignment="1">
      <alignment horizontal="center" vertical="center"/>
    </xf>
    <xf numFmtId="0" fontId="98" fillId="3" borderId="200" xfId="0" quotePrefix="1" applyFont="1" applyFill="1" applyBorder="1" applyAlignment="1" applyProtection="1">
      <alignment horizontal="center" vertical="center"/>
      <protection locked="0"/>
    </xf>
    <xf numFmtId="0" fontId="98" fillId="3" borderId="200" xfId="0" applyFont="1" applyFill="1" applyBorder="1" applyAlignment="1" applyProtection="1">
      <alignment horizontal="center" vertical="center"/>
      <protection locked="0"/>
    </xf>
    <xf numFmtId="0" fontId="39" fillId="0" borderId="203" xfId="3" applyBorder="1" applyAlignment="1" applyProtection="1"/>
    <xf numFmtId="0" fontId="0" fillId="50" borderId="0" xfId="0" applyFill="1" applyBorder="1"/>
    <xf numFmtId="1" fontId="100" fillId="62" borderId="202" xfId="3" applyNumberFormat="1" applyFont="1" applyFill="1" applyBorder="1" applyAlignment="1" applyProtection="1">
      <alignment horizontal="center" vertical="center"/>
      <protection locked="0"/>
    </xf>
    <xf numFmtId="0" fontId="99" fillId="60" borderId="226" xfId="0" applyFont="1" applyFill="1" applyBorder="1" applyAlignment="1" applyProtection="1">
      <alignment horizontal="center" vertical="center"/>
      <protection locked="0"/>
    </xf>
    <xf numFmtId="0" fontId="101" fillId="43" borderId="205" xfId="0" applyFont="1" applyFill="1" applyBorder="1" applyAlignment="1">
      <alignment vertical="center"/>
    </xf>
    <xf numFmtId="0" fontId="101" fillId="43" borderId="203" xfId="0" applyFont="1" applyFill="1" applyBorder="1" applyAlignment="1">
      <alignment horizontal="center" vertical="center"/>
    </xf>
    <xf numFmtId="0" fontId="0" fillId="97" borderId="50" xfId="0" applyFill="1" applyBorder="1" applyAlignment="1">
      <alignment horizontal="center" vertical="center"/>
    </xf>
    <xf numFmtId="49" fontId="100" fillId="0" borderId="204" xfId="0" applyNumberFormat="1" applyFont="1" applyBorder="1" applyAlignment="1">
      <alignment horizontal="center" vertical="center"/>
    </xf>
    <xf numFmtId="0" fontId="101" fillId="0" borderId="226" xfId="0" applyFont="1" applyBorder="1" applyAlignment="1">
      <alignment horizontal="left" vertical="center"/>
    </xf>
    <xf numFmtId="1" fontId="100" fillId="0" borderId="200" xfId="5" applyNumberFormat="1" applyFont="1" applyBorder="1" applyAlignment="1" applyProtection="1">
      <alignment horizontal="center"/>
      <protection locked="0"/>
    </xf>
    <xf numFmtId="0" fontId="100" fillId="0" borderId="204" xfId="5" applyFont="1" applyBorder="1" applyAlignment="1" applyProtection="1">
      <alignment horizontal="center" vertical="center"/>
      <protection locked="0"/>
    </xf>
    <xf numFmtId="1" fontId="100" fillId="62" borderId="205" xfId="3" applyNumberFormat="1" applyFont="1" applyFill="1" applyBorder="1" applyAlignment="1" applyProtection="1">
      <alignment horizontal="centerContinuous" vertical="center"/>
      <protection locked="0"/>
    </xf>
    <xf numFmtId="14" fontId="101" fillId="0" borderId="226" xfId="0" applyNumberFormat="1" applyFont="1" applyBorder="1" applyAlignment="1">
      <alignment horizontal="center" vertical="center"/>
    </xf>
    <xf numFmtId="0" fontId="101" fillId="0" borderId="204" xfId="0" applyFont="1" applyBorder="1" applyAlignment="1">
      <alignment horizontal="center" vertical="center"/>
    </xf>
    <xf numFmtId="3" fontId="4" fillId="0" borderId="135" xfId="0" applyNumberFormat="1" applyFont="1" applyBorder="1" applyAlignment="1" applyProtection="1">
      <alignment horizontal="center" vertical="center"/>
    </xf>
    <xf numFmtId="2" fontId="16" fillId="43" borderId="50" xfId="0" applyNumberFormat="1" applyFont="1" applyFill="1" applyBorder="1" applyAlignment="1" applyProtection="1">
      <alignment horizontal="center" vertical="center"/>
    </xf>
    <xf numFmtId="1" fontId="16" fillId="43" borderId="147" xfId="0" applyNumberFormat="1" applyFont="1" applyFill="1" applyBorder="1" applyAlignment="1" applyProtection="1">
      <alignment horizontal="center" vertical="center"/>
    </xf>
    <xf numFmtId="1" fontId="16" fillId="43" borderId="82" xfId="0" applyNumberFormat="1" applyFont="1" applyFill="1" applyBorder="1" applyAlignment="1" applyProtection="1">
      <alignment horizontal="center" vertical="center"/>
    </xf>
    <xf numFmtId="0" fontId="126" fillId="97" borderId="0" xfId="0" applyFont="1" applyFill="1"/>
    <xf numFmtId="0" fontId="101" fillId="97" borderId="77" xfId="0" applyFont="1" applyFill="1" applyBorder="1" applyAlignment="1">
      <alignment horizontal="center" vertical="center"/>
    </xf>
    <xf numFmtId="3" fontId="4" fillId="97" borderId="88" xfId="0" applyNumberFormat="1" applyFont="1" applyFill="1" applyBorder="1" applyAlignment="1" applyProtection="1">
      <alignment horizontal="center" vertical="center"/>
    </xf>
    <xf numFmtId="0" fontId="2" fillId="97" borderId="0" xfId="243" applyFill="1"/>
    <xf numFmtId="1" fontId="0" fillId="97" borderId="91" xfId="0" applyNumberFormat="1" applyFont="1" applyFill="1" applyBorder="1" applyAlignment="1" applyProtection="1">
      <alignment horizontal="center" vertical="center"/>
    </xf>
    <xf numFmtId="2" fontId="0" fillId="97" borderId="134" xfId="0" applyNumberFormat="1" applyFont="1" applyFill="1" applyBorder="1" applyAlignment="1" applyProtection="1">
      <alignment horizontal="center" vertical="center"/>
    </xf>
    <xf numFmtId="0" fontId="101" fillId="0" borderId="221" xfId="0" applyFont="1" applyBorder="1" applyAlignment="1">
      <alignment horizontal="center" vertical="center"/>
    </xf>
    <xf numFmtId="3" fontId="4" fillId="43" borderId="88" xfId="0" applyNumberFormat="1" applyFont="1" applyFill="1" applyBorder="1" applyAlignment="1" applyProtection="1">
      <alignment horizontal="center" vertical="center"/>
    </xf>
    <xf numFmtId="3" fontId="4" fillId="43" borderId="78" xfId="0" applyNumberFormat="1" applyFont="1" applyFill="1" applyBorder="1" applyAlignment="1" applyProtection="1">
      <alignment horizontal="center" vertical="center"/>
    </xf>
    <xf numFmtId="0" fontId="101" fillId="0" borderId="227" xfId="0" applyFont="1" applyBorder="1" applyAlignment="1">
      <alignment horizontal="center" vertical="center"/>
    </xf>
    <xf numFmtId="0" fontId="101" fillId="0" borderId="228" xfId="0" applyFont="1" applyBorder="1" applyAlignment="1">
      <alignment horizontal="center" vertical="center"/>
    </xf>
    <xf numFmtId="0" fontId="101" fillId="0" borderId="229" xfId="0" applyFont="1" applyBorder="1" applyAlignment="1">
      <alignment horizontal="center" vertical="center"/>
    </xf>
    <xf numFmtId="3" fontId="4" fillId="0" borderId="230" xfId="0" applyNumberFormat="1" applyFont="1" applyBorder="1" applyAlignment="1" applyProtection="1">
      <alignment horizontal="center" vertical="center"/>
    </xf>
    <xf numFmtId="3" fontId="4" fillId="43" borderId="230" xfId="0" applyNumberFormat="1" applyFont="1" applyFill="1" applyBorder="1" applyAlignment="1" applyProtection="1">
      <alignment horizontal="center" vertical="center"/>
    </xf>
    <xf numFmtId="0" fontId="101" fillId="0" borderId="231" xfId="0" applyFont="1" applyBorder="1" applyAlignment="1">
      <alignment horizontal="center" vertical="center"/>
    </xf>
    <xf numFmtId="0" fontId="101" fillId="0" borderId="232" xfId="0" applyFont="1" applyBorder="1" applyAlignment="1">
      <alignment horizontal="center" vertical="center"/>
    </xf>
    <xf numFmtId="0" fontId="101" fillId="0" borderId="233" xfId="0" applyFont="1" applyBorder="1" applyAlignment="1">
      <alignment horizontal="center" vertical="center"/>
    </xf>
    <xf numFmtId="0" fontId="101" fillId="0" borderId="234" xfId="0" applyFont="1" applyBorder="1" applyAlignment="1">
      <alignment horizontal="center" vertical="center"/>
    </xf>
    <xf numFmtId="0" fontId="100" fillId="0" borderId="235" xfId="0" applyFont="1" applyBorder="1" applyAlignment="1">
      <alignment horizontal="center" vertical="center"/>
    </xf>
    <xf numFmtId="0" fontId="100" fillId="43" borderId="235" xfId="0" applyFont="1" applyFill="1" applyBorder="1" applyAlignment="1">
      <alignment horizontal="center" vertical="center"/>
    </xf>
    <xf numFmtId="1" fontId="100" fillId="62" borderId="85" xfId="3" applyNumberFormat="1" applyFont="1" applyFill="1" applyBorder="1" applyAlignment="1" applyProtection="1">
      <alignment horizontal="center" vertical="center"/>
      <protection locked="0"/>
    </xf>
    <xf numFmtId="0" fontId="71" fillId="43" borderId="0" xfId="243" applyFont="1" applyFill="1" applyAlignment="1">
      <alignment horizontal="center" vertical="center"/>
    </xf>
    <xf numFmtId="0" fontId="100" fillId="43" borderId="225" xfId="0" applyFont="1" applyFill="1" applyBorder="1" applyAlignment="1">
      <alignment horizontal="center" vertical="center"/>
    </xf>
    <xf numFmtId="1" fontId="100" fillId="62" borderId="85" xfId="3" applyNumberFormat="1" applyFont="1" applyFill="1" applyBorder="1" applyAlignment="1" applyProtection="1">
      <alignment vertical="center"/>
      <protection locked="0"/>
    </xf>
    <xf numFmtId="4" fontId="14" fillId="25" borderId="245" xfId="0" applyNumberFormat="1" applyFont="1" applyFill="1" applyBorder="1" applyAlignment="1" applyProtection="1">
      <alignment horizontal="center"/>
    </xf>
    <xf numFmtId="167" fontId="15" fillId="11" borderId="246" xfId="0" quotePrefix="1" applyNumberFormat="1" applyFont="1" applyFill="1" applyBorder="1" applyAlignment="1" applyProtection="1">
      <alignment horizontal="center"/>
    </xf>
    <xf numFmtId="1" fontId="7" fillId="11" borderId="247" xfId="0" applyNumberFormat="1" applyFont="1" applyFill="1" applyBorder="1" applyAlignment="1" applyProtection="1">
      <alignment horizontal="center"/>
    </xf>
    <xf numFmtId="2" fontId="14" fillId="16" borderId="248" xfId="0" quotePrefix="1" applyNumberFormat="1" applyFont="1" applyFill="1" applyBorder="1" applyAlignment="1" applyProtection="1">
      <alignment horizontal="center"/>
    </xf>
    <xf numFmtId="167" fontId="16" fillId="6" borderId="249" xfId="0" quotePrefix="1" applyNumberFormat="1" applyFont="1" applyFill="1" applyBorder="1" applyAlignment="1" applyProtection="1">
      <alignment horizontal="center"/>
    </xf>
    <xf numFmtId="0" fontId="4" fillId="6" borderId="249" xfId="0" applyFont="1" applyFill="1" applyBorder="1" applyAlignment="1" applyProtection="1">
      <alignment horizontal="center"/>
    </xf>
    <xf numFmtId="168" fontId="4" fillId="6" borderId="249" xfId="0" applyNumberFormat="1" applyFont="1" applyFill="1" applyBorder="1" applyAlignment="1" applyProtection="1">
      <alignment horizontal="center"/>
    </xf>
    <xf numFmtId="171" fontId="4" fillId="6" borderId="249" xfId="0" applyNumberFormat="1" applyFont="1" applyFill="1" applyBorder="1" applyAlignment="1" applyProtection="1">
      <alignment horizontal="center"/>
    </xf>
    <xf numFmtId="0" fontId="16" fillId="6" borderId="247" xfId="0" applyFont="1" applyFill="1" applyBorder="1" applyAlignment="1" applyProtection="1">
      <alignment horizontal="center"/>
    </xf>
    <xf numFmtId="0" fontId="99" fillId="100" borderId="226" xfId="0" applyFont="1" applyFill="1" applyBorder="1" applyAlignment="1" applyProtection="1">
      <alignment horizontal="center" vertical="center"/>
      <protection locked="0"/>
    </xf>
    <xf numFmtId="49" fontId="100" fillId="94" borderId="241" xfId="0" applyNumberFormat="1" applyFont="1" applyFill="1" applyBorder="1" applyAlignment="1">
      <alignment horizontal="center" vertical="center"/>
    </xf>
    <xf numFmtId="0" fontId="101" fillId="94" borderId="242" xfId="0" applyFont="1" applyFill="1" applyBorder="1" applyAlignment="1">
      <alignment horizontal="left" vertical="center"/>
    </xf>
    <xf numFmtId="1" fontId="102" fillId="94" borderId="243" xfId="5" applyNumberFormat="1" applyFont="1" applyFill="1" applyBorder="1" applyAlignment="1" applyProtection="1">
      <alignment horizontal="center"/>
      <protection locked="0"/>
    </xf>
    <xf numFmtId="0" fontId="100" fillId="94" borderId="161" xfId="5" applyFont="1" applyFill="1" applyBorder="1" applyAlignment="1" applyProtection="1">
      <alignment horizontal="center" vertical="center"/>
      <protection locked="0"/>
    </xf>
    <xf numFmtId="1" fontId="100" fillId="101" borderId="0" xfId="3" applyNumberFormat="1" applyFont="1" applyFill="1" applyBorder="1" applyAlignment="1" applyProtection="1">
      <alignment vertical="center"/>
      <protection locked="0"/>
    </xf>
    <xf numFmtId="14" fontId="101" fillId="94" borderId="202" xfId="0" applyNumberFormat="1" applyFont="1" applyFill="1" applyBorder="1" applyAlignment="1">
      <alignment horizontal="center" vertical="center"/>
    </xf>
    <xf numFmtId="0" fontId="101" fillId="94" borderId="202" xfId="0" applyFont="1" applyFill="1" applyBorder="1" applyAlignment="1">
      <alignment horizontal="center" vertical="center"/>
    </xf>
    <xf numFmtId="0" fontId="101" fillId="94" borderId="202" xfId="0" applyFont="1" applyFill="1" applyBorder="1" applyAlignment="1">
      <alignment vertical="center"/>
    </xf>
    <xf numFmtId="0" fontId="101" fillId="94" borderId="205" xfId="0" applyFont="1" applyFill="1" applyBorder="1" applyAlignment="1">
      <alignment horizontal="center" vertical="center"/>
    </xf>
    <xf numFmtId="0" fontId="101" fillId="94" borderId="204" xfId="0" applyFont="1" applyFill="1" applyBorder="1" applyAlignment="1">
      <alignment horizontal="center" vertical="center"/>
    </xf>
    <xf numFmtId="0" fontId="100" fillId="94" borderId="201" xfId="0" applyFont="1" applyFill="1" applyBorder="1" applyAlignment="1">
      <alignment horizontal="center" vertical="center"/>
    </xf>
    <xf numFmtId="0" fontId="0" fillId="94" borderId="50" xfId="0" applyFill="1" applyBorder="1" applyAlignment="1">
      <alignment horizontal="center" vertical="center"/>
    </xf>
    <xf numFmtId="0" fontId="71" fillId="94" borderId="0" xfId="243" applyFont="1" applyFill="1" applyAlignment="1">
      <alignment horizontal="center" vertical="center"/>
    </xf>
    <xf numFmtId="1" fontId="0" fillId="94" borderId="91" xfId="0" applyNumberFormat="1" applyFont="1" applyFill="1" applyBorder="1" applyAlignment="1" applyProtection="1">
      <alignment horizontal="center" vertical="center"/>
    </xf>
    <xf numFmtId="2" fontId="0" fillId="94" borderId="244" xfId="0" applyNumberFormat="1" applyFont="1" applyFill="1" applyBorder="1" applyAlignment="1" applyProtection="1">
      <alignment horizontal="center" vertical="center"/>
    </xf>
    <xf numFmtId="0" fontId="0" fillId="94" borderId="50" xfId="0" applyNumberFormat="1" applyFont="1" applyFill="1" applyBorder="1" applyAlignment="1" applyProtection="1">
      <alignment horizontal="center" vertical="center"/>
    </xf>
    <xf numFmtId="0" fontId="0" fillId="94" borderId="50" xfId="0" applyNumberFormat="1" applyFont="1" applyFill="1" applyBorder="1" applyAlignment="1">
      <alignment horizontal="center" vertical="center"/>
    </xf>
    <xf numFmtId="1" fontId="16" fillId="94" borderId="203" xfId="0" applyNumberFormat="1" applyFont="1" applyFill="1" applyBorder="1" applyAlignment="1" applyProtection="1">
      <alignment horizontal="center" vertical="center"/>
    </xf>
    <xf numFmtId="0" fontId="98" fillId="103" borderId="10" xfId="0" quotePrefix="1" applyFont="1" applyFill="1" applyBorder="1" applyAlignment="1" applyProtection="1">
      <alignment horizontal="center" vertical="center"/>
      <protection locked="0"/>
    </xf>
    <xf numFmtId="0" fontId="98" fillId="103" borderId="27" xfId="0" quotePrefix="1" applyFont="1" applyFill="1" applyBorder="1" applyAlignment="1" applyProtection="1">
      <alignment horizontal="center" vertical="center"/>
      <protection locked="0"/>
    </xf>
    <xf numFmtId="0" fontId="98" fillId="103" borderId="34" xfId="0" quotePrefix="1" applyFont="1" applyFill="1" applyBorder="1" applyAlignment="1" applyProtection="1">
      <alignment horizontal="center" vertical="center"/>
      <protection locked="0"/>
    </xf>
    <xf numFmtId="0" fontId="98" fillId="103" borderId="200" xfId="0" quotePrefix="1" applyFont="1" applyFill="1" applyBorder="1" applyAlignment="1" applyProtection="1">
      <alignment horizontal="center" vertical="center"/>
      <protection locked="0"/>
    </xf>
    <xf numFmtId="1" fontId="0" fillId="94" borderId="57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1" fillId="43" borderId="81" xfId="0" applyFont="1" applyFill="1" applyBorder="1" applyAlignment="1">
      <alignment horizontal="center" vertical="center"/>
    </xf>
    <xf numFmtId="0" fontId="100" fillId="43" borderId="86" xfId="0" applyFont="1" applyFill="1" applyBorder="1" applyAlignment="1">
      <alignment horizontal="center" vertical="center"/>
    </xf>
    <xf numFmtId="0" fontId="0" fillId="43" borderId="0" xfId="0" applyFill="1"/>
    <xf numFmtId="0" fontId="100" fillId="43" borderId="232" xfId="0" applyFont="1" applyFill="1" applyBorder="1" applyAlignment="1">
      <alignment horizontal="center" vertical="center"/>
    </xf>
    <xf numFmtId="0" fontId="101" fillId="43" borderId="204" xfId="0" applyFont="1" applyFill="1" applyBorder="1" applyAlignment="1">
      <alignment horizontal="center" vertical="center"/>
    </xf>
    <xf numFmtId="0" fontId="101" fillId="43" borderId="235" xfId="0" applyFont="1" applyFill="1" applyBorder="1" applyAlignment="1">
      <alignment horizontal="center" vertical="center"/>
    </xf>
    <xf numFmtId="1" fontId="78" fillId="0" borderId="236" xfId="0" applyNumberFormat="1" applyFont="1" applyBorder="1" applyAlignment="1">
      <alignment horizontal="center" vertical="center"/>
    </xf>
    <xf numFmtId="1" fontId="16" fillId="43" borderId="108" xfId="0" applyNumberFormat="1" applyFont="1" applyFill="1" applyBorder="1" applyAlignment="1" applyProtection="1">
      <alignment horizontal="center" vertical="center"/>
    </xf>
    <xf numFmtId="1" fontId="16" fillId="43" borderId="236" xfId="0" applyNumberFormat="1" applyFont="1" applyFill="1" applyBorder="1" applyAlignment="1" applyProtection="1">
      <alignment horizontal="center" vertical="center"/>
    </xf>
    <xf numFmtId="1" fontId="16" fillId="0" borderId="236" xfId="0" applyNumberFormat="1" applyFont="1" applyBorder="1" applyAlignment="1" applyProtection="1">
      <alignment horizontal="center" vertical="center"/>
    </xf>
    <xf numFmtId="4" fontId="14" fillId="95" borderId="71" xfId="0" applyNumberFormat="1" applyFont="1" applyFill="1" applyBorder="1" applyAlignment="1" applyProtection="1">
      <alignment horizontal="center" vertical="center"/>
      <protection locked="0"/>
    </xf>
    <xf numFmtId="0" fontId="100" fillId="43" borderId="238" xfId="0" applyFont="1" applyFill="1" applyBorder="1" applyAlignment="1">
      <alignment horizontal="center" vertical="center"/>
    </xf>
    <xf numFmtId="0" fontId="100" fillId="43" borderId="230" xfId="0" applyFont="1" applyFill="1" applyBorder="1" applyAlignment="1">
      <alignment horizontal="center" vertical="center"/>
    </xf>
    <xf numFmtId="0" fontId="128" fillId="43" borderId="238" xfId="0" applyFont="1" applyFill="1" applyBorder="1" applyAlignment="1">
      <alignment horizontal="center" vertical="center"/>
    </xf>
    <xf numFmtId="0" fontId="95" fillId="0" borderId="0" xfId="0" applyFont="1" applyBorder="1" applyAlignment="1"/>
    <xf numFmtId="0" fontId="95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6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7" fillId="14" borderId="120" xfId="0" applyFont="1" applyFill="1" applyBorder="1" applyAlignment="1" applyProtection="1">
      <alignment horizontal="center" vertical="center"/>
      <protection locked="0"/>
    </xf>
    <xf numFmtId="0" fontId="97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1" fontId="100" fillId="62" borderId="179" xfId="3" applyNumberFormat="1" applyFont="1" applyFill="1" applyBorder="1" applyAlignment="1" applyProtection="1">
      <alignment vertical="center"/>
      <protection locked="0"/>
    </xf>
    <xf numFmtId="1" fontId="100" fillId="62" borderId="202" xfId="3" applyNumberFormat="1" applyFont="1" applyFill="1" applyBorder="1" applyAlignment="1" applyProtection="1">
      <alignment vertical="center"/>
      <protection locked="0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00" fillId="102" borderId="207" xfId="3" applyNumberFormat="1" applyFont="1" applyFill="1" applyBorder="1" applyAlignment="1" applyProtection="1">
      <alignment horizontal="center" vertical="center"/>
      <protection locked="0"/>
    </xf>
    <xf numFmtId="1" fontId="100" fillId="102" borderId="208" xfId="3" applyNumberFormat="1" applyFont="1" applyFill="1" applyBorder="1" applyAlignment="1" applyProtection="1">
      <alignment horizontal="center" vertical="center"/>
      <protection locked="0"/>
    </xf>
    <xf numFmtId="1" fontId="100" fillId="62" borderId="237" xfId="3" applyNumberFormat="1" applyFont="1" applyFill="1" applyBorder="1" applyAlignment="1" applyProtection="1">
      <alignment horizontal="center" vertical="center"/>
      <protection locked="0"/>
    </xf>
    <xf numFmtId="1" fontId="100" fillId="62" borderId="238" xfId="3" applyNumberFormat="1" applyFont="1" applyFill="1" applyBorder="1" applyAlignment="1" applyProtection="1">
      <alignment horizontal="center" vertical="center"/>
      <protection locked="0"/>
    </xf>
    <xf numFmtId="0" fontId="0" fillId="0" borderId="2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6" xfId="0" applyBorder="1" applyAlignment="1">
      <alignment horizontal="center"/>
    </xf>
    <xf numFmtId="0" fontId="123" fillId="97" borderId="238" xfId="0" applyFont="1" applyFill="1" applyBorder="1" applyAlignment="1">
      <alignment horizontal="center" vertical="center"/>
    </xf>
    <xf numFmtId="0" fontId="123" fillId="97" borderId="230" xfId="0" applyFont="1" applyFill="1" applyBorder="1" applyAlignment="1">
      <alignment horizontal="center" vertical="center"/>
    </xf>
    <xf numFmtId="1" fontId="100" fillId="62" borderId="93" xfId="3" applyNumberFormat="1" applyFont="1" applyFill="1" applyBorder="1" applyAlignment="1" applyProtection="1">
      <alignment vertical="center"/>
      <protection locked="0"/>
    </xf>
    <xf numFmtId="1" fontId="100" fillId="62" borderId="179" xfId="3" applyNumberFormat="1" applyFont="1" applyFill="1" applyBorder="1" applyAlignment="1" applyProtection="1">
      <alignment horizontal="center" vertical="center"/>
      <protection locked="0"/>
    </xf>
    <xf numFmtId="1" fontId="100" fillId="62" borderId="202" xfId="3" applyNumberFormat="1" applyFont="1" applyFill="1" applyBorder="1" applyAlignment="1" applyProtection="1">
      <alignment horizontal="center" vertical="center"/>
      <protection locked="0"/>
    </xf>
    <xf numFmtId="1" fontId="100" fillId="62" borderId="93" xfId="3" applyNumberFormat="1" applyFont="1" applyFill="1" applyBorder="1" applyAlignment="1" applyProtection="1">
      <alignment horizontal="center" vertical="center"/>
      <protection locked="0"/>
    </xf>
    <xf numFmtId="1" fontId="100" fillId="62" borderId="207" xfId="3" applyNumberFormat="1" applyFont="1" applyFill="1" applyBorder="1" applyAlignment="1" applyProtection="1">
      <alignment vertical="center"/>
      <protection locked="0"/>
    </xf>
    <xf numFmtId="1" fontId="100" fillId="62" borderId="208" xfId="3" applyNumberFormat="1" applyFont="1" applyFill="1" applyBorder="1" applyAlignment="1" applyProtection="1">
      <alignment vertical="center"/>
      <protection locked="0"/>
    </xf>
    <xf numFmtId="1" fontId="100" fillId="62" borderId="201" xfId="3" applyNumberFormat="1" applyFont="1" applyFill="1" applyBorder="1" applyAlignment="1" applyProtection="1">
      <alignment horizontal="center" vertical="center"/>
      <protection locked="0"/>
    </xf>
    <xf numFmtId="1" fontId="100" fillId="62" borderId="205" xfId="3" applyNumberFormat="1" applyFont="1" applyFill="1" applyBorder="1" applyAlignment="1" applyProtection="1">
      <alignment horizontal="center" vertical="center"/>
      <protection locked="0"/>
    </xf>
    <xf numFmtId="1" fontId="100" fillId="62" borderId="192" xfId="3" applyNumberFormat="1" applyFont="1" applyFill="1" applyBorder="1" applyAlignment="1" applyProtection="1">
      <alignment horizontal="center" vertical="center"/>
      <protection locked="0"/>
    </xf>
    <xf numFmtId="1" fontId="100" fillId="62" borderId="180" xfId="3" applyNumberFormat="1" applyFont="1" applyFill="1" applyBorder="1" applyAlignment="1" applyProtection="1">
      <alignment horizontal="center" vertical="center"/>
      <protection locked="0"/>
    </xf>
    <xf numFmtId="1" fontId="100" fillId="62" borderId="193" xfId="3" applyNumberFormat="1" applyFont="1" applyFill="1" applyBorder="1" applyAlignment="1" applyProtection="1">
      <alignment horizontal="center" vertical="center"/>
      <protection locked="0"/>
    </xf>
    <xf numFmtId="1" fontId="100" fillId="0" borderId="179" xfId="3" applyNumberFormat="1" applyFont="1" applyFill="1" applyBorder="1" applyAlignment="1" applyProtection="1">
      <alignment horizontal="center" vertical="center"/>
      <protection locked="0"/>
    </xf>
    <xf numFmtId="1" fontId="100" fillId="0" borderId="180" xfId="3" applyNumberFormat="1" applyFont="1" applyFill="1" applyBorder="1" applyAlignment="1" applyProtection="1">
      <alignment horizontal="center" vertical="center"/>
      <protection locked="0"/>
    </xf>
    <xf numFmtId="1" fontId="100" fillId="62" borderId="86" xfId="3" applyNumberFormat="1" applyFont="1" applyFill="1" applyBorder="1" applyAlignment="1" applyProtection="1">
      <alignment horizontal="center" vertical="center"/>
      <protection locked="0"/>
    </xf>
    <xf numFmtId="1" fontId="100" fillId="62" borderId="85" xfId="3" applyNumberFormat="1" applyFont="1" applyFill="1" applyBorder="1" applyAlignment="1" applyProtection="1">
      <alignment horizontal="center" vertical="center"/>
      <protection locked="0"/>
    </xf>
    <xf numFmtId="0" fontId="100" fillId="43" borderId="180" xfId="0" applyFont="1" applyFill="1" applyBorder="1" applyAlignment="1">
      <alignment horizontal="center" vertical="center"/>
    </xf>
    <xf numFmtId="0" fontId="100" fillId="43" borderId="85" xfId="0" applyFont="1" applyFill="1" applyBorder="1" applyAlignment="1">
      <alignment horizontal="center" vertical="center"/>
    </xf>
    <xf numFmtId="1" fontId="100" fillId="62" borderId="161" xfId="3" applyNumberFormat="1" applyFont="1" applyFill="1" applyBorder="1" applyAlignment="1" applyProtection="1">
      <alignment horizontal="center" vertical="center"/>
      <protection locked="0"/>
    </xf>
    <xf numFmtId="1" fontId="100" fillId="62" borderId="141" xfId="3" applyNumberFormat="1" applyFont="1" applyFill="1" applyBorder="1" applyAlignment="1" applyProtection="1">
      <alignment horizontal="center" vertical="center"/>
      <protection locked="0"/>
    </xf>
    <xf numFmtId="0" fontId="100" fillId="43" borderId="86" xfId="0" applyFont="1" applyFill="1" applyBorder="1" applyAlignment="1">
      <alignment horizontal="center"/>
    </xf>
    <xf numFmtId="0" fontId="100" fillId="43" borderId="180" xfId="0" applyFont="1" applyFill="1" applyBorder="1" applyAlignment="1">
      <alignment horizontal="center"/>
    </xf>
    <xf numFmtId="0" fontId="100" fillId="43" borderId="85" xfId="0" applyFont="1" applyFill="1" applyBorder="1" applyAlignment="1">
      <alignment horizontal="center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1" fontId="102" fillId="62" borderId="86" xfId="3" applyNumberFormat="1" applyFont="1" applyFill="1" applyBorder="1" applyAlignment="1" applyProtection="1">
      <alignment horizontal="center" vertical="center"/>
      <protection locked="0"/>
    </xf>
    <xf numFmtId="1" fontId="102" fillId="101" borderId="86" xfId="3" applyNumberFormat="1" applyFont="1" applyFill="1" applyBorder="1" applyAlignment="1" applyProtection="1">
      <alignment horizontal="center" vertical="center"/>
      <protection locked="0"/>
    </xf>
    <xf numFmtId="1" fontId="100" fillId="101" borderId="180" xfId="3" applyNumberFormat="1" applyFont="1" applyFill="1" applyBorder="1" applyAlignment="1" applyProtection="1">
      <alignment horizontal="center" vertical="center"/>
      <protection locked="0"/>
    </xf>
    <xf numFmtId="1" fontId="100" fillId="101" borderId="85" xfId="3" applyNumberFormat="1" applyFont="1" applyFill="1" applyBorder="1" applyAlignment="1" applyProtection="1">
      <alignment horizontal="center" vertical="center"/>
      <protection locked="0"/>
    </xf>
    <xf numFmtId="0" fontId="100" fillId="43" borderId="237" xfId="0" applyFont="1" applyFill="1" applyBorder="1" applyAlignment="1">
      <alignment horizontal="center" vertical="center"/>
    </xf>
    <xf numFmtId="0" fontId="100" fillId="43" borderId="238" xfId="0" applyFont="1" applyFill="1" applyBorder="1" applyAlignment="1">
      <alignment horizontal="center" vertical="center"/>
    </xf>
    <xf numFmtId="0" fontId="100" fillId="43" borderId="239" xfId="0" applyFont="1" applyFill="1" applyBorder="1" applyAlignment="1">
      <alignment horizontal="center" vertical="center"/>
    </xf>
    <xf numFmtId="1" fontId="100" fillId="61" borderId="237" xfId="3" applyNumberFormat="1" applyFont="1" applyFill="1" applyBorder="1" applyAlignment="1" applyProtection="1">
      <alignment horizontal="center" vertical="center"/>
      <protection locked="0"/>
    </xf>
    <xf numFmtId="1" fontId="100" fillId="61" borderId="238" xfId="3" applyNumberFormat="1" applyFont="1" applyFill="1" applyBorder="1" applyAlignment="1" applyProtection="1">
      <alignment horizontal="center" vertical="center"/>
      <protection locked="0"/>
    </xf>
    <xf numFmtId="1" fontId="100" fillId="61" borderId="239" xfId="3" applyNumberFormat="1" applyFont="1" applyFill="1" applyBorder="1" applyAlignment="1" applyProtection="1">
      <alignment horizontal="center" vertical="center"/>
      <protection locked="0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65" fillId="0" borderId="237" xfId="3" applyFont="1" applyBorder="1" applyAlignment="1" applyProtection="1">
      <alignment horizontal="center" vertical="center"/>
    </xf>
    <xf numFmtId="0" fontId="65" fillId="0" borderId="238" xfId="3" applyFont="1" applyBorder="1" applyAlignment="1" applyProtection="1">
      <alignment horizontal="center" vertical="center"/>
    </xf>
    <xf numFmtId="0" fontId="65" fillId="0" borderId="239" xfId="3" applyFont="1" applyBorder="1" applyAlignment="1" applyProtection="1">
      <alignment horizontal="center" vertical="center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0" fontId="58" fillId="0" borderId="201" xfId="0" applyFont="1" applyBorder="1" applyAlignment="1">
      <alignment horizontal="center" vertical="center"/>
    </xf>
    <xf numFmtId="0" fontId="58" fillId="0" borderId="202" xfId="0" applyFont="1" applyBorder="1" applyAlignment="1">
      <alignment horizontal="center" vertical="center"/>
    </xf>
    <xf numFmtId="0" fontId="58" fillId="0" borderId="205" xfId="0" applyFont="1" applyBorder="1" applyAlignment="1">
      <alignment horizontal="center" vertical="center"/>
    </xf>
    <xf numFmtId="49" fontId="100" fillId="43" borderId="86" xfId="0" applyNumberFormat="1" applyFont="1" applyFill="1" applyBorder="1" applyAlignment="1">
      <alignment horizontal="center" vertical="center"/>
    </xf>
    <xf numFmtId="49" fontId="100" fillId="43" borderId="180" xfId="0" applyNumberFormat="1" applyFont="1" applyFill="1" applyBorder="1" applyAlignment="1">
      <alignment horizontal="center" vertical="center"/>
    </xf>
    <xf numFmtId="49" fontId="100" fillId="43" borderId="85" xfId="0" applyNumberFormat="1" applyFont="1" applyFill="1" applyBorder="1" applyAlignment="1">
      <alignment horizontal="center" vertical="center"/>
    </xf>
    <xf numFmtId="49" fontId="121" fillId="43" borderId="86" xfId="3" applyNumberFormat="1" applyFont="1" applyFill="1" applyBorder="1" applyAlignment="1" applyProtection="1">
      <alignment horizontal="center" vertical="center"/>
    </xf>
    <xf numFmtId="49" fontId="121" fillId="43" borderId="180" xfId="3" applyNumberFormat="1" applyFont="1" applyFill="1" applyBorder="1" applyAlignment="1" applyProtection="1">
      <alignment horizontal="center" vertical="center"/>
    </xf>
    <xf numFmtId="49" fontId="121" fillId="43" borderId="85" xfId="3" applyNumberFormat="1" applyFont="1" applyFill="1" applyBorder="1" applyAlignment="1" applyProtection="1">
      <alignment horizontal="center" vertical="center"/>
    </xf>
    <xf numFmtId="49" fontId="100" fillId="97" borderId="86" xfId="3" applyNumberFormat="1" applyFont="1" applyFill="1" applyBorder="1" applyAlignment="1" applyProtection="1">
      <alignment horizontal="center" vertical="center"/>
      <protection locked="0"/>
    </xf>
    <xf numFmtId="49" fontId="100" fillId="97" borderId="180" xfId="3" applyNumberFormat="1" applyFont="1" applyFill="1" applyBorder="1" applyAlignment="1" applyProtection="1">
      <alignment horizontal="center" vertical="center"/>
      <protection locked="0"/>
    </xf>
    <xf numFmtId="49" fontId="100" fillId="97" borderId="85" xfId="3" applyNumberFormat="1" applyFont="1" applyFill="1" applyBorder="1" applyAlignment="1" applyProtection="1">
      <alignment horizontal="center" vertical="center"/>
      <protection locked="0"/>
    </xf>
    <xf numFmtId="49" fontId="100" fillId="43" borderId="86" xfId="3" applyNumberFormat="1" applyFont="1" applyFill="1" applyBorder="1" applyAlignment="1" applyProtection="1">
      <alignment horizontal="center" vertical="center"/>
      <protection locked="0"/>
    </xf>
    <xf numFmtId="49" fontId="100" fillId="43" borderId="180" xfId="3" applyNumberFormat="1" applyFont="1" applyFill="1" applyBorder="1" applyAlignment="1" applyProtection="1">
      <alignment horizontal="center" vertical="center"/>
      <protection locked="0"/>
    </xf>
    <xf numFmtId="49" fontId="100" fillId="43" borderId="85" xfId="3" applyNumberFormat="1" applyFont="1" applyFill="1" applyBorder="1" applyAlignment="1" applyProtection="1">
      <alignment horizontal="center" vertical="center"/>
      <protection locked="0"/>
    </xf>
    <xf numFmtId="49" fontId="100" fillId="94" borderId="86" xfId="3" applyNumberFormat="1" applyFont="1" applyFill="1" applyBorder="1" applyAlignment="1" applyProtection="1">
      <alignment horizontal="center" vertical="center"/>
      <protection locked="0"/>
    </xf>
    <xf numFmtId="49" fontId="100" fillId="94" borderId="180" xfId="3" applyNumberFormat="1" applyFont="1" applyFill="1" applyBorder="1" applyAlignment="1" applyProtection="1">
      <alignment horizontal="center" vertical="center"/>
      <protection locked="0"/>
    </xf>
    <xf numFmtId="49" fontId="100" fillId="94" borderId="85" xfId="3" applyNumberFormat="1" applyFont="1" applyFill="1" applyBorder="1" applyAlignment="1" applyProtection="1">
      <alignment horizontal="center" vertical="center"/>
      <protection locked="0"/>
    </xf>
    <xf numFmtId="1" fontId="120" fillId="62" borderId="86" xfId="3" applyNumberFormat="1" applyFont="1" applyFill="1" applyBorder="1" applyAlignment="1" applyProtection="1">
      <alignment horizontal="center" vertical="center"/>
      <protection locked="0"/>
    </xf>
    <xf numFmtId="1" fontId="120" fillId="62" borderId="180" xfId="3" applyNumberFormat="1" applyFont="1" applyFill="1" applyBorder="1" applyAlignment="1" applyProtection="1">
      <alignment horizontal="center" vertical="center"/>
      <protection locked="0"/>
    </xf>
    <xf numFmtId="1" fontId="120" fillId="62" borderId="85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  <xf numFmtId="1" fontId="127" fillId="62" borderId="237" xfId="3" applyNumberFormat="1" applyFont="1" applyFill="1" applyBorder="1" applyAlignment="1" applyProtection="1">
      <alignment horizontal="center" vertical="center"/>
      <protection locked="0"/>
    </xf>
    <xf numFmtId="0" fontId="127" fillId="43" borderId="238" xfId="0" applyFont="1" applyFill="1" applyBorder="1" applyAlignment="1">
      <alignment horizontal="center" vertical="center"/>
    </xf>
    <xf numFmtId="0" fontId="127" fillId="43" borderId="239" xfId="0" applyFont="1" applyFill="1" applyBorder="1" applyAlignment="1">
      <alignment horizontal="center" vertical="center"/>
    </xf>
  </cellXfs>
  <cellStyles count="273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07010000}"/>
    <cellStyle name="Normal 2 2" xfId="257" xr:uid="{00000000-0005-0000-0000-000008010000}"/>
    <cellStyle name="Normal_Account" xfId="4" xr:uid="{00000000-0005-0000-0000-000009010000}"/>
    <cellStyle name="Normal_pickup" xfId="5" xr:uid="{00000000-0005-0000-0000-00000A010000}"/>
    <cellStyle name="Note 2" xfId="244" xr:uid="{00000000-0005-0000-0000-00000B010000}"/>
    <cellStyle name="Note 2 2" xfId="258" xr:uid="{00000000-0005-0000-0000-00000C01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xcel/Bull-Test/Clemson/2000/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5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comments" Target="../comments3.x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vmlDrawing" Target="../drawings/vmlDrawing3.vml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43"/>
  <sheetViews>
    <sheetView topLeftCell="A4" workbookViewId="0">
      <selection activeCell="H10" sqref="H10"/>
    </sheetView>
  </sheetViews>
  <sheetFormatPr defaultColWidth="9" defaultRowHeight="11.25" x14ac:dyDescent="0.2"/>
  <cols>
    <col min="1" max="5" width="7.83203125" customWidth="1"/>
    <col min="6" max="6" width="7.33203125" customWidth="1"/>
    <col min="7" max="7" width="7.83203125" customWidth="1"/>
    <col min="8" max="8" width="40.33203125" bestFit="1" customWidth="1"/>
    <col min="9" max="9" width="29" bestFit="1" customWidth="1"/>
    <col min="10" max="10" width="36.33203125" bestFit="1" customWidth="1"/>
    <col min="11" max="11" width="37" bestFit="1" customWidth="1"/>
    <col min="12" max="12" width="22.33203125" bestFit="1" customWidth="1"/>
    <col min="13" max="13" width="30" customWidth="1"/>
  </cols>
  <sheetData>
    <row r="1" spans="1:13" ht="15.95" customHeight="1" x14ac:dyDescent="0.2">
      <c r="A1" s="1320" t="s">
        <v>251</v>
      </c>
      <c r="B1" s="1321"/>
      <c r="C1" s="1321"/>
      <c r="D1" s="1321"/>
      <c r="E1" s="1321"/>
      <c r="F1" s="1321"/>
      <c r="G1" s="1321"/>
      <c r="H1" s="1321"/>
      <c r="I1" s="1321"/>
      <c r="J1" s="1321"/>
      <c r="K1" s="1321"/>
      <c r="L1" s="1321"/>
      <c r="M1" s="1309"/>
    </row>
    <row r="2" spans="1:13" ht="22.5" x14ac:dyDescent="0.2">
      <c r="A2" s="1311" t="s">
        <v>261</v>
      </c>
      <c r="B2" s="1312"/>
      <c r="C2" s="1312"/>
      <c r="D2" s="1312"/>
      <c r="E2" s="1312"/>
      <c r="F2" s="1312"/>
      <c r="G2" s="1312"/>
      <c r="H2" s="1312"/>
      <c r="I2" s="1312"/>
      <c r="J2" s="1312"/>
      <c r="K2" s="1312"/>
      <c r="L2" s="1313"/>
      <c r="M2" s="1309"/>
    </row>
    <row r="3" spans="1:13" ht="15.95" customHeight="1" x14ac:dyDescent="0.2">
      <c r="A3" s="1314" t="s">
        <v>66</v>
      </c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09"/>
    </row>
    <row r="4" spans="1:13" ht="18.75" thickBot="1" x14ac:dyDescent="0.25">
      <c r="A4" s="1316"/>
      <c r="B4" s="1317"/>
      <c r="C4" s="1317"/>
      <c r="D4" s="1317"/>
      <c r="E4" s="1317"/>
      <c r="F4" s="1317"/>
      <c r="G4" s="1317"/>
      <c r="H4" s="1317"/>
      <c r="I4" s="1317"/>
      <c r="J4" s="1317"/>
      <c r="K4" s="1317"/>
      <c r="L4" s="1317"/>
      <c r="M4" s="1310"/>
    </row>
    <row r="5" spans="1:13" ht="19.5" thickBot="1" x14ac:dyDescent="0.25">
      <c r="A5" s="1318" t="s">
        <v>49</v>
      </c>
      <c r="B5" s="1319"/>
      <c r="C5" s="1319"/>
      <c r="D5" s="1319"/>
      <c r="E5" s="1319"/>
      <c r="F5" s="1319"/>
      <c r="G5" s="1319"/>
      <c r="H5" s="872" t="s">
        <v>50</v>
      </c>
      <c r="I5" s="872" t="s">
        <v>51</v>
      </c>
      <c r="J5" s="873" t="s">
        <v>52</v>
      </c>
      <c r="K5" s="873" t="s">
        <v>65</v>
      </c>
      <c r="L5" s="874" t="s">
        <v>53</v>
      </c>
      <c r="M5" s="875"/>
    </row>
    <row r="6" spans="1:13" ht="18" x14ac:dyDescent="0.2">
      <c r="A6" s="876">
        <v>1</v>
      </c>
      <c r="B6" s="877"/>
      <c r="C6" s="877"/>
      <c r="D6" s="877">
        <v>50</v>
      </c>
      <c r="E6" s="877">
        <v>51</v>
      </c>
      <c r="F6" s="877">
        <v>52</v>
      </c>
      <c r="G6" s="878"/>
      <c r="H6" s="273" t="s">
        <v>357</v>
      </c>
      <c r="I6" t="s">
        <v>358</v>
      </c>
      <c r="J6" t="s">
        <v>359</v>
      </c>
      <c r="K6" t="s">
        <v>360</v>
      </c>
      <c r="L6" t="s">
        <v>361</v>
      </c>
    </row>
    <row r="7" spans="1:13" ht="18" x14ac:dyDescent="0.2">
      <c r="A7" s="876">
        <v>4</v>
      </c>
      <c r="B7" s="1289">
        <v>5</v>
      </c>
      <c r="C7" s="1289">
        <v>6</v>
      </c>
      <c r="D7" s="1289">
        <v>7</v>
      </c>
      <c r="E7" s="1289">
        <v>8</v>
      </c>
      <c r="F7" s="877">
        <v>53</v>
      </c>
      <c r="G7" s="878">
        <v>54</v>
      </c>
      <c r="H7" s="273" t="s">
        <v>362</v>
      </c>
      <c r="I7" t="s">
        <v>363</v>
      </c>
      <c r="J7" t="s">
        <v>364</v>
      </c>
      <c r="K7" t="s">
        <v>365</v>
      </c>
      <c r="L7" t="s">
        <v>366</v>
      </c>
    </row>
    <row r="8" spans="1:13" ht="18" x14ac:dyDescent="0.2">
      <c r="A8" s="876">
        <v>9</v>
      </c>
      <c r="B8" s="1289"/>
      <c r="C8" s="1289">
        <v>11</v>
      </c>
      <c r="D8" s="1289">
        <v>12</v>
      </c>
      <c r="E8" s="1289"/>
      <c r="F8" s="877"/>
      <c r="G8" s="878"/>
      <c r="H8" s="273" t="s">
        <v>367</v>
      </c>
      <c r="I8" t="s">
        <v>368</v>
      </c>
      <c r="J8" t="s">
        <v>369</v>
      </c>
      <c r="K8" t="s">
        <v>370</v>
      </c>
      <c r="L8" t="s">
        <v>371</v>
      </c>
    </row>
    <row r="9" spans="1:13" ht="18" x14ac:dyDescent="0.2">
      <c r="A9" s="876">
        <v>13</v>
      </c>
      <c r="B9" s="1289">
        <v>14</v>
      </c>
      <c r="C9" s="1289">
        <v>15</v>
      </c>
      <c r="D9" s="1289">
        <v>16</v>
      </c>
      <c r="E9" s="1289"/>
      <c r="F9" s="877">
        <v>18</v>
      </c>
      <c r="G9" s="878">
        <v>19</v>
      </c>
      <c r="H9" s="273" t="s">
        <v>372</v>
      </c>
      <c r="I9" t="s">
        <v>373</v>
      </c>
      <c r="J9" t="s">
        <v>374</v>
      </c>
      <c r="K9" t="s">
        <v>375</v>
      </c>
      <c r="L9" t="s">
        <v>376</v>
      </c>
    </row>
    <row r="10" spans="1:13" ht="18" x14ac:dyDescent="0.2">
      <c r="A10" s="876">
        <v>20</v>
      </c>
      <c r="B10" s="1289"/>
      <c r="C10" s="1289"/>
      <c r="D10" s="1289"/>
      <c r="E10" s="1289"/>
      <c r="F10" s="877"/>
      <c r="G10" s="878"/>
      <c r="H10" s="273" t="s">
        <v>377</v>
      </c>
      <c r="I10" t="s">
        <v>378</v>
      </c>
      <c r="J10" t="s">
        <v>379</v>
      </c>
      <c r="K10" t="s">
        <v>380</v>
      </c>
      <c r="L10" t="s">
        <v>381</v>
      </c>
    </row>
    <row r="11" spans="1:13" ht="18" x14ac:dyDescent="0.2">
      <c r="A11" s="876">
        <v>21</v>
      </c>
      <c r="B11" s="1289">
        <v>63</v>
      </c>
      <c r="C11" s="1289">
        <v>64</v>
      </c>
      <c r="D11" s="1289">
        <v>65</v>
      </c>
      <c r="E11" s="1289"/>
      <c r="F11" s="877"/>
      <c r="G11" s="878"/>
      <c r="H11" s="273" t="s">
        <v>382</v>
      </c>
      <c r="I11" t="s">
        <v>383</v>
      </c>
      <c r="J11" t="s">
        <v>384</v>
      </c>
      <c r="K11" t="s">
        <v>385</v>
      </c>
      <c r="L11" t="s">
        <v>386</v>
      </c>
    </row>
    <row r="12" spans="1:13" ht="18" x14ac:dyDescent="0.2">
      <c r="A12" s="876">
        <v>22</v>
      </c>
      <c r="B12" s="1289">
        <v>23</v>
      </c>
      <c r="C12" s="1289">
        <v>66</v>
      </c>
      <c r="D12" s="1289"/>
      <c r="E12" s="1290"/>
      <c r="F12" s="877"/>
      <c r="G12" s="878"/>
      <c r="H12" s="273" t="s">
        <v>387</v>
      </c>
      <c r="I12" t="s">
        <v>388</v>
      </c>
      <c r="J12" t="s">
        <v>389</v>
      </c>
      <c r="K12" t="s">
        <v>390</v>
      </c>
      <c r="L12" t="s">
        <v>391</v>
      </c>
    </row>
    <row r="13" spans="1:13" ht="18" x14ac:dyDescent="0.2">
      <c r="A13" s="877">
        <v>24</v>
      </c>
      <c r="B13" s="1289"/>
      <c r="C13" s="1289"/>
      <c r="D13" s="1291"/>
      <c r="E13" s="940"/>
      <c r="F13" s="877"/>
      <c r="G13" s="878"/>
      <c r="H13" s="273" t="s">
        <v>392</v>
      </c>
      <c r="I13" t="s">
        <v>393</v>
      </c>
      <c r="J13" t="s">
        <v>394</v>
      </c>
      <c r="K13" t="s">
        <v>464</v>
      </c>
      <c r="L13" t="s">
        <v>395</v>
      </c>
    </row>
    <row r="14" spans="1:13" ht="18" x14ac:dyDescent="0.2">
      <c r="A14" s="1217">
        <v>25</v>
      </c>
      <c r="B14" s="1292">
        <v>68</v>
      </c>
      <c r="C14" s="1292">
        <v>69</v>
      </c>
      <c r="D14" s="1291">
        <v>77</v>
      </c>
      <c r="E14" s="1220"/>
      <c r="F14" s="1217"/>
      <c r="G14" s="1218"/>
      <c r="H14" s="1219" t="s">
        <v>445</v>
      </c>
      <c r="I14" t="s">
        <v>445</v>
      </c>
      <c r="J14" t="s">
        <v>446</v>
      </c>
      <c r="K14" t="s">
        <v>447</v>
      </c>
      <c r="L14" t="s">
        <v>448</v>
      </c>
    </row>
    <row r="15" spans="1:13" ht="18" x14ac:dyDescent="0.2">
      <c r="A15" s="876">
        <v>26</v>
      </c>
      <c r="B15" s="1289">
        <v>27</v>
      </c>
      <c r="C15" s="1289">
        <v>73</v>
      </c>
      <c r="D15" s="1289">
        <v>74</v>
      </c>
      <c r="E15" s="1289">
        <v>92</v>
      </c>
      <c r="F15" s="877"/>
      <c r="G15" s="878"/>
      <c r="H15" s="273" t="s">
        <v>396</v>
      </c>
      <c r="I15" t="s">
        <v>397</v>
      </c>
      <c r="J15" t="s">
        <v>398</v>
      </c>
      <c r="K15" t="s">
        <v>399</v>
      </c>
      <c r="L15" t="s">
        <v>400</v>
      </c>
    </row>
    <row r="16" spans="1:13" ht="18" x14ac:dyDescent="0.2">
      <c r="A16" s="876">
        <v>28</v>
      </c>
      <c r="B16" s="1289">
        <v>29</v>
      </c>
      <c r="C16" s="1289">
        <v>30</v>
      </c>
      <c r="D16" s="1289"/>
      <c r="E16" s="1289"/>
      <c r="F16" s="877"/>
      <c r="G16" s="878"/>
      <c r="H16" s="273" t="s">
        <v>401</v>
      </c>
      <c r="I16" t="s">
        <v>402</v>
      </c>
      <c r="J16" t="s">
        <v>403</v>
      </c>
      <c r="K16" t="s">
        <v>380</v>
      </c>
      <c r="L16" t="s">
        <v>404</v>
      </c>
    </row>
    <row r="17" spans="1:13" ht="18" x14ac:dyDescent="0.2">
      <c r="A17" s="876">
        <v>32</v>
      </c>
      <c r="B17" s="1289">
        <v>33</v>
      </c>
      <c r="C17" s="1289"/>
      <c r="D17" s="1289"/>
      <c r="E17" s="1289"/>
      <c r="F17" s="877"/>
      <c r="G17" s="878"/>
      <c r="H17" s="273" t="s">
        <v>405</v>
      </c>
      <c r="I17" t="s">
        <v>406</v>
      </c>
      <c r="J17" t="s">
        <v>407</v>
      </c>
      <c r="K17" t="s">
        <v>408</v>
      </c>
      <c r="L17" t="s">
        <v>409</v>
      </c>
    </row>
    <row r="18" spans="1:13" ht="18" x14ac:dyDescent="0.2">
      <c r="A18" s="876">
        <v>35</v>
      </c>
      <c r="B18" s="1289">
        <v>36</v>
      </c>
      <c r="C18" s="1289">
        <v>37</v>
      </c>
      <c r="D18" s="1289">
        <v>38</v>
      </c>
      <c r="E18" s="1289"/>
      <c r="F18" s="877"/>
      <c r="G18" s="878"/>
      <c r="H18" s="273" t="s">
        <v>410</v>
      </c>
      <c r="I18" t="s">
        <v>411</v>
      </c>
      <c r="J18" t="s">
        <v>412</v>
      </c>
      <c r="K18" t="s">
        <v>413</v>
      </c>
      <c r="L18" t="s">
        <v>414</v>
      </c>
    </row>
    <row r="19" spans="1:13" ht="18" x14ac:dyDescent="0.2">
      <c r="A19" s="876">
        <v>41</v>
      </c>
      <c r="B19" s="1289">
        <v>42</v>
      </c>
      <c r="C19" s="1289">
        <v>43</v>
      </c>
      <c r="D19" s="1289">
        <v>76</v>
      </c>
      <c r="E19" s="1290"/>
      <c r="F19" s="877"/>
      <c r="G19" s="878"/>
      <c r="H19" s="273" t="s">
        <v>415</v>
      </c>
      <c r="I19" t="s">
        <v>416</v>
      </c>
      <c r="J19" t="s">
        <v>417</v>
      </c>
      <c r="K19" t="s">
        <v>418</v>
      </c>
      <c r="L19" t="s">
        <v>419</v>
      </c>
    </row>
    <row r="20" spans="1:13" ht="18" x14ac:dyDescent="0.2">
      <c r="A20" s="876">
        <v>44</v>
      </c>
      <c r="B20" s="1289">
        <v>45</v>
      </c>
      <c r="C20" s="1289">
        <v>46</v>
      </c>
      <c r="D20" s="1291"/>
      <c r="E20" s="940"/>
      <c r="F20" s="877"/>
      <c r="G20" s="878"/>
      <c r="H20" s="273" t="s">
        <v>420</v>
      </c>
      <c r="I20" t="s">
        <v>421</v>
      </c>
      <c r="J20" t="s">
        <v>422</v>
      </c>
      <c r="K20" t="s">
        <v>423</v>
      </c>
      <c r="L20" t="s">
        <v>424</v>
      </c>
    </row>
    <row r="21" spans="1:13" ht="18" x14ac:dyDescent="0.2">
      <c r="A21" s="876">
        <v>55</v>
      </c>
      <c r="B21" s="1289">
        <v>56</v>
      </c>
      <c r="C21" s="1289">
        <v>57</v>
      </c>
      <c r="D21" s="1289">
        <v>58</v>
      </c>
      <c r="E21" s="1289">
        <v>59</v>
      </c>
      <c r="F21" s="877"/>
      <c r="G21" s="878"/>
      <c r="H21" s="273" t="s">
        <v>425</v>
      </c>
      <c r="I21" t="s">
        <v>426</v>
      </c>
      <c r="J21" t="s">
        <v>427</v>
      </c>
      <c r="K21" t="s">
        <v>428</v>
      </c>
      <c r="L21" t="s">
        <v>429</v>
      </c>
    </row>
    <row r="22" spans="1:13" ht="18" x14ac:dyDescent="0.2">
      <c r="A22" s="876">
        <v>60</v>
      </c>
      <c r="B22" s="1289">
        <v>61</v>
      </c>
      <c r="C22" s="1289">
        <v>62</v>
      </c>
      <c r="D22" s="1289"/>
      <c r="E22" s="1289"/>
      <c r="F22" s="877"/>
      <c r="G22" s="878"/>
      <c r="H22" s="273" t="s">
        <v>430</v>
      </c>
      <c r="I22" t="s">
        <v>431</v>
      </c>
      <c r="J22" t="s">
        <v>432</v>
      </c>
      <c r="K22" t="s">
        <v>433</v>
      </c>
      <c r="L22" t="s">
        <v>434</v>
      </c>
    </row>
    <row r="23" spans="1:13" ht="18" x14ac:dyDescent="0.2">
      <c r="A23" s="876">
        <v>70</v>
      </c>
      <c r="B23" s="1289">
        <v>71</v>
      </c>
      <c r="C23" s="1289"/>
      <c r="D23" s="1289"/>
      <c r="E23" s="1289"/>
      <c r="F23" s="877"/>
      <c r="G23" s="878"/>
      <c r="H23" s="273" t="s">
        <v>435</v>
      </c>
      <c r="I23" t="s">
        <v>436</v>
      </c>
      <c r="J23" t="s">
        <v>437</v>
      </c>
      <c r="K23" t="s">
        <v>438</v>
      </c>
      <c r="L23" t="s">
        <v>439</v>
      </c>
    </row>
    <row r="24" spans="1:13" ht="18" x14ac:dyDescent="0.2">
      <c r="A24" s="876">
        <v>72</v>
      </c>
      <c r="B24" s="1289"/>
      <c r="C24" s="1289"/>
      <c r="D24" s="1289"/>
      <c r="E24" s="1289"/>
      <c r="F24" s="877"/>
      <c r="G24" s="878"/>
      <c r="H24" s="273" t="s">
        <v>440</v>
      </c>
      <c r="I24" t="s">
        <v>441</v>
      </c>
      <c r="J24" t="s">
        <v>442</v>
      </c>
      <c r="K24" t="s">
        <v>443</v>
      </c>
      <c r="L24" t="s">
        <v>444</v>
      </c>
    </row>
    <row r="25" spans="1:13" ht="18" x14ac:dyDescent="0.2">
      <c r="A25" s="876">
        <v>78</v>
      </c>
      <c r="B25" s="1289">
        <v>79</v>
      </c>
      <c r="C25" s="1289"/>
      <c r="D25" s="1289"/>
      <c r="E25" s="1289"/>
      <c r="F25" s="877"/>
      <c r="G25" s="878"/>
      <c r="H25" s="273" t="s">
        <v>449</v>
      </c>
      <c r="I25" t="s">
        <v>450</v>
      </c>
      <c r="J25" t="s">
        <v>451</v>
      </c>
      <c r="K25" t="s">
        <v>452</v>
      </c>
      <c r="L25" t="s">
        <v>453</v>
      </c>
    </row>
    <row r="26" spans="1:13" ht="18" x14ac:dyDescent="0.2">
      <c r="A26" s="876">
        <v>80</v>
      </c>
      <c r="B26" s="1289">
        <v>81</v>
      </c>
      <c r="C26" s="1289"/>
      <c r="D26" s="1289"/>
      <c r="E26" s="1289"/>
      <c r="F26" s="877"/>
      <c r="G26" s="878"/>
      <c r="H26" s="273" t="s">
        <v>454</v>
      </c>
      <c r="I26" t="s">
        <v>455</v>
      </c>
      <c r="J26" t="s">
        <v>456</v>
      </c>
      <c r="K26" t="s">
        <v>457</v>
      </c>
      <c r="L26" t="s">
        <v>458</v>
      </c>
    </row>
    <row r="27" spans="1:13" ht="18" x14ac:dyDescent="0.2">
      <c r="A27" s="876">
        <v>82</v>
      </c>
      <c r="B27" s="1289"/>
      <c r="C27" s="1289">
        <v>84</v>
      </c>
      <c r="D27" s="1289">
        <v>85</v>
      </c>
      <c r="E27" s="1289">
        <v>86</v>
      </c>
      <c r="F27" s="877"/>
      <c r="G27" s="878"/>
      <c r="H27" s="273" t="s">
        <v>459</v>
      </c>
      <c r="I27" t="s">
        <v>460</v>
      </c>
      <c r="J27" t="s">
        <v>461</v>
      </c>
      <c r="K27" t="s">
        <v>462</v>
      </c>
      <c r="L27" t="s">
        <v>463</v>
      </c>
    </row>
    <row r="28" spans="1:13" ht="18" x14ac:dyDescent="0.2">
      <c r="A28" s="876"/>
      <c r="B28" s="877"/>
      <c r="C28" s="877"/>
      <c r="D28" s="877"/>
      <c r="E28" s="877"/>
      <c r="F28" s="877"/>
      <c r="G28" s="878"/>
      <c r="H28" s="273"/>
    </row>
    <row r="29" spans="1:13" ht="18" x14ac:dyDescent="0.2">
      <c r="A29" s="876"/>
      <c r="B29" s="877"/>
      <c r="C29" s="877"/>
      <c r="D29" s="877"/>
      <c r="E29" s="1002"/>
      <c r="F29" s="877"/>
      <c r="G29" s="878"/>
      <c r="H29" s="273"/>
    </row>
    <row r="30" spans="1:13" ht="18" x14ac:dyDescent="0.2">
      <c r="A30" s="876"/>
      <c r="B30" s="877"/>
      <c r="C30" s="877"/>
      <c r="D30" s="877"/>
      <c r="E30" s="877"/>
      <c r="F30" s="877"/>
      <c r="G30" s="878"/>
      <c r="H30" s="273"/>
    </row>
    <row r="31" spans="1:13" ht="18" x14ac:dyDescent="0.25">
      <c r="A31" s="876"/>
      <c r="B31" s="877"/>
      <c r="C31" s="877"/>
      <c r="D31" s="877"/>
      <c r="E31" s="877"/>
      <c r="F31" s="877"/>
      <c r="G31" s="878"/>
      <c r="H31" s="879"/>
      <c r="I31" s="879"/>
      <c r="J31" s="879"/>
      <c r="K31" s="879"/>
      <c r="L31" s="880"/>
      <c r="M31" s="273"/>
    </row>
    <row r="32" spans="1:13" ht="18" x14ac:dyDescent="0.25">
      <c r="A32" s="876"/>
      <c r="B32" s="877"/>
      <c r="C32" s="877"/>
      <c r="D32" s="877"/>
      <c r="E32" s="877"/>
      <c r="F32" s="877"/>
      <c r="G32" s="878"/>
      <c r="H32" s="879"/>
      <c r="I32" s="879"/>
      <c r="J32" s="879"/>
      <c r="K32" s="879"/>
      <c r="L32" s="880"/>
      <c r="M32" s="273"/>
    </row>
    <row r="33" spans="1:13" ht="18" x14ac:dyDescent="0.25">
      <c r="A33" s="876"/>
      <c r="B33" s="877"/>
      <c r="C33" s="877"/>
      <c r="D33" s="877"/>
      <c r="E33" s="877"/>
      <c r="F33" s="877"/>
      <c r="G33" s="878"/>
      <c r="H33" s="879"/>
      <c r="I33" s="879"/>
      <c r="J33" s="879"/>
      <c r="K33" s="879"/>
      <c r="L33" s="880"/>
      <c r="M33" s="273"/>
    </row>
    <row r="34" spans="1:13" ht="18" x14ac:dyDescent="0.25">
      <c r="A34" s="876"/>
      <c r="B34" s="877"/>
      <c r="C34" s="877"/>
      <c r="D34" s="877"/>
      <c r="E34" s="877"/>
      <c r="F34" s="877"/>
      <c r="G34" s="878"/>
      <c r="H34" s="879"/>
      <c r="I34" s="879"/>
      <c r="J34" s="879"/>
      <c r="K34" s="879"/>
      <c r="L34" s="880"/>
      <c r="M34" s="273"/>
    </row>
    <row r="35" spans="1:13" ht="18" x14ac:dyDescent="0.25">
      <c r="A35" s="876"/>
      <c r="B35" s="877"/>
      <c r="C35" s="877"/>
      <c r="D35" s="877"/>
      <c r="E35" s="877"/>
      <c r="F35" s="877"/>
      <c r="G35" s="878"/>
      <c r="H35" s="879"/>
      <c r="I35" s="879"/>
      <c r="J35" s="879"/>
      <c r="K35" s="879"/>
      <c r="L35" s="880"/>
      <c r="M35" s="273"/>
    </row>
    <row r="36" spans="1:13" ht="18" x14ac:dyDescent="0.25">
      <c r="A36" s="876"/>
      <c r="B36" s="877"/>
      <c r="C36" s="877"/>
      <c r="D36" s="877"/>
      <c r="E36" s="877"/>
      <c r="F36" s="877"/>
      <c r="G36" s="878"/>
      <c r="H36" s="879"/>
      <c r="I36" s="879"/>
      <c r="J36" s="879"/>
      <c r="K36" s="879"/>
      <c r="L36" s="880"/>
      <c r="M36" s="273"/>
    </row>
    <row r="37" spans="1:13" ht="18" x14ac:dyDescent="0.25">
      <c r="A37" s="876"/>
      <c r="B37" s="877"/>
      <c r="C37" s="877"/>
      <c r="D37" s="877"/>
      <c r="E37" s="877"/>
      <c r="F37" s="877"/>
      <c r="G37" s="878"/>
      <c r="H37" s="879"/>
      <c r="I37" s="879"/>
      <c r="J37" s="879"/>
      <c r="K37" s="879"/>
      <c r="L37" s="880"/>
      <c r="M37" s="273"/>
    </row>
    <row r="38" spans="1:13" ht="18" x14ac:dyDescent="0.25">
      <c r="A38" s="876"/>
      <c r="B38" s="877"/>
      <c r="C38" s="877"/>
      <c r="D38" s="877"/>
      <c r="E38" s="877"/>
      <c r="F38" s="877"/>
      <c r="G38" s="878"/>
      <c r="H38" s="879"/>
      <c r="I38" s="879"/>
      <c r="J38" s="879"/>
      <c r="K38" s="879"/>
      <c r="L38" s="880"/>
      <c r="M38" s="273"/>
    </row>
    <row r="39" spans="1:13" ht="18" x14ac:dyDescent="0.25">
      <c r="A39" s="876"/>
      <c r="B39" s="877"/>
      <c r="C39" s="877"/>
      <c r="D39" s="877"/>
      <c r="E39" s="877"/>
      <c r="F39" s="877"/>
      <c r="G39" s="878"/>
      <c r="H39" s="879"/>
      <c r="I39" s="879"/>
      <c r="J39" s="879"/>
      <c r="K39" s="879"/>
      <c r="L39" s="880"/>
      <c r="M39" s="273"/>
    </row>
    <row r="40" spans="1:13" ht="18" x14ac:dyDescent="0.25">
      <c r="A40" s="269"/>
      <c r="B40" s="270"/>
      <c r="C40" s="270"/>
      <c r="D40" s="270"/>
      <c r="E40" s="270"/>
      <c r="F40" s="270"/>
      <c r="G40" s="270"/>
      <c r="H40" s="271"/>
      <c r="I40" s="271"/>
      <c r="J40" s="271"/>
      <c r="K40" s="271"/>
      <c r="L40" s="272"/>
      <c r="M40" s="274"/>
    </row>
    <row r="41" spans="1:13" ht="18" x14ac:dyDescent="0.25">
      <c r="A41" s="269"/>
      <c r="B41" s="270"/>
      <c r="C41" s="270"/>
      <c r="D41" s="270"/>
      <c r="E41" s="270"/>
      <c r="F41" s="270"/>
      <c r="G41" s="270"/>
      <c r="H41" s="271"/>
      <c r="I41" s="271"/>
      <c r="J41" s="271"/>
      <c r="K41" s="271"/>
      <c r="L41" s="272"/>
      <c r="M41" s="274"/>
    </row>
    <row r="42" spans="1:13" ht="18" x14ac:dyDescent="0.25">
      <c r="A42" s="269"/>
      <c r="B42" s="270"/>
      <c r="C42" s="270"/>
      <c r="D42" s="270"/>
      <c r="E42" s="270"/>
      <c r="F42" s="270"/>
      <c r="G42" s="270"/>
      <c r="H42" s="271"/>
      <c r="I42" s="271"/>
      <c r="J42" s="271"/>
      <c r="K42" s="271"/>
      <c r="L42" s="272"/>
      <c r="M42" s="274"/>
    </row>
    <row r="43" spans="1:13" ht="18" x14ac:dyDescent="0.25">
      <c r="A43" s="269"/>
      <c r="B43" s="270"/>
      <c r="C43" s="270"/>
      <c r="D43" s="270"/>
      <c r="E43" s="270"/>
      <c r="F43" s="270"/>
      <c r="G43" s="270"/>
      <c r="H43" s="271"/>
      <c r="I43" s="271"/>
      <c r="J43" s="271"/>
      <c r="K43" s="271"/>
      <c r="L43" s="272"/>
      <c r="M43" s="274"/>
    </row>
  </sheetData>
  <mergeCells count="6">
    <mergeCell ref="M1:M4"/>
    <mergeCell ref="A2:L2"/>
    <mergeCell ref="A3:L3"/>
    <mergeCell ref="A4:L4"/>
    <mergeCell ref="A5:G5"/>
    <mergeCell ref="A1:L1"/>
  </mergeCells>
  <phoneticPr fontId="0" type="noConversion"/>
  <printOptions horizontalCentered="1"/>
  <pageMargins left="0.25" right="0.25" top="0.5" bottom="0.5" header="0.5" footer="0.5"/>
  <pageSetup scale="68" orientation="landscape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A2" sqref="A2:L2"/>
    </sheetView>
  </sheetViews>
  <sheetFormatPr defaultColWidth="9" defaultRowHeight="11.25" x14ac:dyDescent="0.2"/>
  <cols>
    <col min="1" max="1" width="7.83203125" customWidth="1"/>
    <col min="2" max="2" width="9.1640625" customWidth="1"/>
    <col min="3" max="3" width="6.83203125" customWidth="1"/>
    <col min="4" max="5" width="9.83203125" customWidth="1"/>
    <col min="6" max="6" width="7.83203125" customWidth="1"/>
    <col min="7" max="12" width="13.83203125" customWidth="1"/>
  </cols>
  <sheetData>
    <row r="1" spans="1:12" ht="19.5" x14ac:dyDescent="0.35">
      <c r="A1" s="1456" t="s">
        <v>0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8"/>
    </row>
    <row r="2" spans="1:12" ht="24.75" customHeight="1" x14ac:dyDescent="0.2">
      <c r="A2" s="1459" t="s">
        <v>476</v>
      </c>
      <c r="B2" s="1460"/>
      <c r="C2" s="1460"/>
      <c r="D2" s="1460"/>
      <c r="E2" s="1460"/>
      <c r="F2" s="1460"/>
      <c r="G2" s="1460"/>
      <c r="H2" s="1460"/>
      <c r="I2" s="1460"/>
      <c r="J2" s="1460"/>
      <c r="K2" s="1460"/>
      <c r="L2" s="1461"/>
    </row>
    <row r="3" spans="1:12" ht="30" customHeight="1" thickBot="1" x14ac:dyDescent="0.25">
      <c r="A3" s="1462" t="s">
        <v>94</v>
      </c>
      <c r="B3" s="1463"/>
      <c r="C3" s="1463"/>
      <c r="D3" s="1463"/>
      <c r="E3" s="1463"/>
      <c r="F3" s="1463"/>
      <c r="G3" s="1463"/>
      <c r="H3" s="1463"/>
      <c r="I3" s="1463"/>
      <c r="J3" s="1463"/>
      <c r="K3" s="1463"/>
      <c r="L3" s="1464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465"/>
      <c r="H4" s="1466"/>
      <c r="I4" s="1466"/>
      <c r="J4" s="1466"/>
      <c r="K4" s="1466"/>
      <c r="L4" s="1467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116</v>
      </c>
      <c r="E5" s="190" t="s">
        <v>15</v>
      </c>
      <c r="F5" s="190" t="s">
        <v>16</v>
      </c>
      <c r="G5" s="1468"/>
      <c r="H5" s="1469"/>
      <c r="I5" s="1469"/>
      <c r="J5" s="1469"/>
      <c r="K5" s="1469"/>
      <c r="L5" s="1470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sqref="A1:E1"/>
    </sheetView>
  </sheetViews>
  <sheetFormatPr defaultColWidth="9" defaultRowHeight="11.25" x14ac:dyDescent="0.2"/>
  <cols>
    <col min="1" max="5" width="9.83203125" customWidth="1"/>
  </cols>
  <sheetData>
    <row r="1" spans="1:5" ht="30" customHeight="1" x14ac:dyDescent="0.2">
      <c r="A1" s="1380" t="s">
        <v>477</v>
      </c>
      <c r="B1" s="1381"/>
      <c r="C1" s="1381"/>
      <c r="D1" s="1381"/>
      <c r="E1" s="1440"/>
    </row>
    <row r="2" spans="1:5" ht="18.75" thickBot="1" x14ac:dyDescent="0.25">
      <c r="A2" s="1316" t="s">
        <v>243</v>
      </c>
      <c r="B2" s="1317"/>
      <c r="C2" s="1317"/>
      <c r="D2" s="1317"/>
      <c r="E2" s="1441"/>
    </row>
    <row r="3" spans="1:5" ht="12" customHeight="1" x14ac:dyDescent="0.2">
      <c r="A3" s="4" t="s">
        <v>2</v>
      </c>
      <c r="B3" s="148" t="s">
        <v>45</v>
      </c>
      <c r="C3" s="35" t="s">
        <v>121</v>
      </c>
      <c r="D3" s="34"/>
      <c r="E3" s="149" t="s">
        <v>79</v>
      </c>
    </row>
    <row r="4" spans="1:5" ht="12" customHeight="1" thickBot="1" x14ac:dyDescent="0.25">
      <c r="A4" s="8" t="s">
        <v>13</v>
      </c>
      <c r="B4" s="122" t="s">
        <v>103</v>
      </c>
      <c r="C4" s="12" t="s">
        <v>26</v>
      </c>
      <c r="D4" s="12" t="s">
        <v>27</v>
      </c>
      <c r="E4" s="120" t="s">
        <v>102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242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7" workbookViewId="0">
      <selection activeCell="D12" sqref="D12"/>
    </sheetView>
  </sheetViews>
  <sheetFormatPr defaultColWidth="9" defaultRowHeight="11.25" x14ac:dyDescent="0.2"/>
  <cols>
    <col min="1" max="1" width="4.83203125" customWidth="1"/>
    <col min="2" max="2" width="3.83203125" customWidth="1"/>
    <col min="3" max="4" width="23.83203125" customWidth="1"/>
    <col min="5" max="5" width="6.83203125" customWidth="1"/>
    <col min="6" max="6" width="5" bestFit="1" customWidth="1"/>
    <col min="7" max="7" width="5.832031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83203125" customWidth="1"/>
    <col min="15" max="15" width="3.83203125" customWidth="1"/>
    <col min="16" max="16" width="8.83203125" customWidth="1"/>
    <col min="17" max="17" width="5.83203125" customWidth="1"/>
    <col min="18" max="18" width="5.1640625" customWidth="1"/>
    <col min="19" max="19" width="6.83203125" customWidth="1"/>
    <col min="20" max="20" width="6.1640625" customWidth="1"/>
    <col min="21" max="21" width="5.83203125" customWidth="1"/>
    <col min="22" max="22" width="4.83203125" customWidth="1"/>
    <col min="23" max="23" width="5.1640625" customWidth="1"/>
    <col min="24" max="27" width="5.83203125" customWidth="1"/>
    <col min="28" max="28" width="7.1640625" customWidth="1"/>
    <col min="29" max="29" width="5.83203125" customWidth="1"/>
    <col min="30" max="30" width="6.1640625" customWidth="1"/>
    <col min="31" max="31" width="6.83203125" customWidth="1"/>
    <col min="33" max="33" width="8.1640625" customWidth="1"/>
    <col min="34" max="34" width="6.1640625" customWidth="1"/>
    <col min="35" max="41" width="12.83203125" customWidth="1"/>
  </cols>
  <sheetData>
    <row r="1" spans="1:44" ht="24" customHeight="1" x14ac:dyDescent="0.2">
      <c r="A1" s="1380" t="s">
        <v>130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1"/>
      <c r="Q1" s="1381"/>
      <c r="R1" s="1381"/>
      <c r="S1" s="1381"/>
      <c r="T1" s="1381"/>
      <c r="U1" s="1381"/>
      <c r="V1" s="1381"/>
      <c r="W1" s="1381"/>
      <c r="X1" s="1381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316" t="str">
        <f>+Dates!A2</f>
        <v>56-Days Weight Report ~ October 17, 2018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317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43390</v>
      </c>
      <c r="AK2" s="38">
        <f>Dates!A8</f>
        <v>57</v>
      </c>
      <c r="AM2" s="38">
        <f>Dates!A9</f>
        <v>29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387" t="s">
        <v>4</v>
      </c>
      <c r="H3" s="1388"/>
      <c r="I3" s="1388"/>
      <c r="J3" s="1389"/>
      <c r="K3" s="1385" t="s">
        <v>5</v>
      </c>
      <c r="L3" s="1386"/>
      <c r="M3" s="1382" t="s">
        <v>6</v>
      </c>
      <c r="N3" s="1383"/>
      <c r="O3" s="1384"/>
      <c r="P3" s="182" t="s">
        <v>7</v>
      </c>
      <c r="Q3" s="1382" t="str">
        <f>+Dates!A3</f>
        <v>56 Days</v>
      </c>
      <c r="R3" s="1383"/>
      <c r="S3" s="1383"/>
      <c r="T3" s="1383"/>
      <c r="U3" s="1383"/>
      <c r="V3" s="1383"/>
      <c r="W3" s="1383"/>
      <c r="X3" s="1384"/>
      <c r="Y3" s="1391" t="s">
        <v>240</v>
      </c>
      <c r="Z3" s="1392"/>
      <c r="AA3" s="1392"/>
      <c r="AB3" s="1392"/>
      <c r="AC3" s="1393"/>
      <c r="AD3" s="118" t="s">
        <v>79</v>
      </c>
      <c r="AE3" s="121" t="s">
        <v>45</v>
      </c>
      <c r="AF3" s="1377" t="s">
        <v>57</v>
      </c>
      <c r="AG3" s="1378"/>
      <c r="AH3" s="1379"/>
      <c r="AI3" s="26" t="s">
        <v>9</v>
      </c>
      <c r="AJ3" s="26" t="s">
        <v>9</v>
      </c>
      <c r="AK3" s="26" t="s">
        <v>10</v>
      </c>
      <c r="AL3" s="26" t="s">
        <v>71</v>
      </c>
      <c r="AM3" s="26" t="s">
        <v>72</v>
      </c>
      <c r="AN3" s="26" t="s">
        <v>11</v>
      </c>
      <c r="AO3" s="28" t="s">
        <v>12</v>
      </c>
      <c r="AP3" s="208" t="s">
        <v>124</v>
      </c>
      <c r="AQ3" s="207" t="s">
        <v>122</v>
      </c>
      <c r="AR3" s="207" t="s">
        <v>123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231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102</v>
      </c>
      <c r="AE4" s="122" t="s">
        <v>103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369" t="s">
        <v>43</v>
      </c>
      <c r="B5" s="1370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1370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168</v>
      </c>
      <c r="C6" s="473" t="s">
        <v>133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2209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3.3620689655172415</v>
      </c>
      <c r="U6" s="327">
        <f t="shared" ref="U6:U42" si="1">IF(AK$2=0," ",IF(S6=0," ",IF(P6=0," ",(S6-P6)/AK$2)))</f>
        <v>8.7631578947368425</v>
      </c>
      <c r="V6" s="438">
        <f t="shared" ref="V6:V42" si="2">IF(AK$2=0," ",IF(U6=0," ",(U6/U$43)*100))</f>
        <v>106.12707800970458</v>
      </c>
      <c r="W6" s="327">
        <f>IF(AK$2=0,P6/Q6,S6/Q6)</f>
        <v>0.68243549117247626</v>
      </c>
      <c r="X6" s="716">
        <f t="shared" ref="X6:X42" si="3">IF(W6=0," ",(W6/W$43)*100)</f>
        <v>108.55860467142119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9.4455933859093193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168</v>
      </c>
      <c r="C7" s="478" t="s">
        <v>134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2183</v>
      </c>
      <c r="R7" s="349">
        <v>50.5</v>
      </c>
      <c r="S7" s="349">
        <v>1290</v>
      </c>
      <c r="T7" s="334">
        <f t="shared" si="0"/>
        <v>3.103448275862069</v>
      </c>
      <c r="U7" s="334">
        <f t="shared" si="1"/>
        <v>8</v>
      </c>
      <c r="V7" s="384">
        <f t="shared" si="2"/>
        <v>96.884779924775358</v>
      </c>
      <c r="W7" s="334">
        <f t="shared" ref="W7:W42" si="11">IF(AK$2=0,P7/Q7,S7/Q7)</f>
        <v>0.59092991296381125</v>
      </c>
      <c r="X7" s="715">
        <f t="shared" si="3"/>
        <v>94.002330827988189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8.5909299129638121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168</v>
      </c>
      <c r="C8" s="481" t="s">
        <v>111</v>
      </c>
      <c r="D8" s="596">
        <v>17402362</v>
      </c>
      <c r="E8" s="298" t="s">
        <v>135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206</v>
      </c>
      <c r="P8" s="353">
        <v>1075</v>
      </c>
      <c r="Q8" s="439">
        <f t="shared" si="10"/>
        <v>2211</v>
      </c>
      <c r="R8" s="349">
        <v>52.5</v>
      </c>
      <c r="S8" s="349">
        <v>1477.5</v>
      </c>
      <c r="T8" s="334">
        <f t="shared" si="0"/>
        <v>3.7068965517241379</v>
      </c>
      <c r="U8" s="334">
        <f t="shared" si="1"/>
        <v>7.0614035087719298</v>
      </c>
      <c r="V8" s="384">
        <f t="shared" si="2"/>
        <v>85.517815613425626</v>
      </c>
      <c r="W8" s="334">
        <f t="shared" si="11"/>
        <v>0.66824966078697423</v>
      </c>
      <c r="X8" s="715">
        <f t="shared" si="3"/>
        <v>106.30198998376812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7.7296531695589037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168</v>
      </c>
      <c r="C9" s="481" t="s">
        <v>136</v>
      </c>
      <c r="D9" s="596">
        <v>17581966</v>
      </c>
      <c r="E9" s="298" t="s">
        <v>226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2235</v>
      </c>
      <c r="R9" s="349">
        <v>54</v>
      </c>
      <c r="S9" s="349">
        <v>1447.5</v>
      </c>
      <c r="T9" s="334">
        <f t="shared" si="0"/>
        <v>3.7068965517241379</v>
      </c>
      <c r="U9" s="334">
        <f t="shared" si="1"/>
        <v>8.0964912280701746</v>
      </c>
      <c r="V9" s="384">
        <f t="shared" si="2"/>
        <v>98.053346349306622</v>
      </c>
      <c r="W9" s="334">
        <f t="shared" si="11"/>
        <v>0.6476510067114094</v>
      </c>
      <c r="X9" s="715">
        <f t="shared" si="3"/>
        <v>103.0252536863773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8.7441422347815845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168</v>
      </c>
      <c r="C10" s="481" t="s">
        <v>137</v>
      </c>
      <c r="D10" s="596">
        <v>17573019</v>
      </c>
      <c r="E10" s="298" t="s">
        <v>227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2235</v>
      </c>
      <c r="R10" s="349">
        <v>53</v>
      </c>
      <c r="S10" s="349">
        <v>1550</v>
      </c>
      <c r="T10" s="334">
        <f t="shared" si="0"/>
        <v>4.1379310344827589</v>
      </c>
      <c r="U10" s="334">
        <f t="shared" si="1"/>
        <v>8.5438596491228065</v>
      </c>
      <c r="V10" s="384">
        <f t="shared" si="2"/>
        <v>103.47124522667895</v>
      </c>
      <c r="W10" s="334">
        <f t="shared" si="11"/>
        <v>0.69351230425055932</v>
      </c>
      <c r="X10" s="715">
        <f t="shared" si="3"/>
        <v>110.32065161580988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9.2373719533733656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131</v>
      </c>
      <c r="C11" s="481" t="s">
        <v>113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2223</v>
      </c>
      <c r="R11" s="349">
        <v>51.5</v>
      </c>
      <c r="S11" s="349">
        <v>1350</v>
      </c>
      <c r="T11" s="334">
        <f t="shared" si="0"/>
        <v>3.7931034482758621</v>
      </c>
      <c r="U11" s="334">
        <f t="shared" si="1"/>
        <v>8.8245614035087723</v>
      </c>
      <c r="V11" s="384">
        <f t="shared" si="2"/>
        <v>106.87071118895177</v>
      </c>
      <c r="W11" s="334">
        <f t="shared" si="11"/>
        <v>0.60728744939271251</v>
      </c>
      <c r="X11" s="715">
        <f t="shared" si="3"/>
        <v>96.604410223848134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9.431848852901485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131</v>
      </c>
      <c r="C12" s="481" t="s">
        <v>138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2214</v>
      </c>
      <c r="R12" s="349">
        <v>51</v>
      </c>
      <c r="S12" s="349">
        <v>1190</v>
      </c>
      <c r="T12" s="334">
        <f t="shared" si="0"/>
        <v>2.9310344827586206</v>
      </c>
      <c r="U12" s="334">
        <f t="shared" si="1"/>
        <v>6.9298245614035086</v>
      </c>
      <c r="V12" s="384">
        <f t="shared" si="2"/>
        <v>83.924315943610225</v>
      </c>
      <c r="W12" s="334">
        <f t="shared" si="11"/>
        <v>0.5374887082204155</v>
      </c>
      <c r="X12" s="715">
        <f t="shared" si="3"/>
        <v>85.50115717282651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7.4673132696239239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131</v>
      </c>
      <c r="C13" s="481" t="s">
        <v>139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2187</v>
      </c>
      <c r="R13" s="349">
        <v>50.5</v>
      </c>
      <c r="S13" s="349">
        <v>1195</v>
      </c>
      <c r="T13" s="334">
        <f t="shared" si="0"/>
        <v>3.103448275862069</v>
      </c>
      <c r="U13" s="334">
        <f t="shared" si="1"/>
        <v>8.3684210526315788</v>
      </c>
      <c r="V13" s="384">
        <f t="shared" si="2"/>
        <v>101.34657900025843</v>
      </c>
      <c r="W13" s="334">
        <f t="shared" si="11"/>
        <v>0.54641060813900322</v>
      </c>
      <c r="X13" s="715">
        <f t="shared" si="3"/>
        <v>86.920410741417882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8.9148316607705826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131</v>
      </c>
      <c r="C14" s="481" t="s">
        <v>141</v>
      </c>
      <c r="D14" s="596">
        <v>17567700</v>
      </c>
      <c r="E14" s="298" t="s">
        <v>142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2236</v>
      </c>
      <c r="R14" s="349">
        <v>52</v>
      </c>
      <c r="S14" s="349">
        <v>1540</v>
      </c>
      <c r="T14" s="334">
        <f t="shared" si="0"/>
        <v>3.7931034482758621</v>
      </c>
      <c r="U14" s="334">
        <f t="shared" si="1"/>
        <v>8.7192982456140342</v>
      </c>
      <c r="V14" s="384">
        <f t="shared" si="2"/>
        <v>105.59591145309946</v>
      </c>
      <c r="W14" s="334">
        <f t="shared" si="11"/>
        <v>0.68872987477638636</v>
      </c>
      <c r="X14" s="715">
        <f t="shared" si="3"/>
        <v>109.55988539340295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9.408028120390421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131</v>
      </c>
      <c r="C15" s="481" t="s">
        <v>143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2236</v>
      </c>
      <c r="R15" s="349">
        <v>51.5</v>
      </c>
      <c r="S15" s="349">
        <v>1475</v>
      </c>
      <c r="T15" s="334">
        <f t="shared" si="0"/>
        <v>3.7931034482758621</v>
      </c>
      <c r="U15" s="334">
        <f t="shared" si="1"/>
        <v>7.9824561403508776</v>
      </c>
      <c r="V15" s="384">
        <f t="shared" si="2"/>
        <v>96.672313302133304</v>
      </c>
      <c r="W15" s="334">
        <f t="shared" si="11"/>
        <v>0.65966010733452596</v>
      </c>
      <c r="X15" s="715">
        <f t="shared" si="3"/>
        <v>104.93560451640869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8.6421162476854043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131</v>
      </c>
      <c r="C16" s="481" t="s">
        <v>137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2182</v>
      </c>
      <c r="R16" s="349">
        <v>50.5</v>
      </c>
      <c r="S16" s="349">
        <v>1270</v>
      </c>
      <c r="T16" s="334">
        <f t="shared" si="0"/>
        <v>2.7586206896551726</v>
      </c>
      <c r="U16" s="334">
        <f t="shared" si="1"/>
        <v>7.7719298245614032</v>
      </c>
      <c r="V16" s="384">
        <f t="shared" si="2"/>
        <v>94.12271383042868</v>
      </c>
      <c r="W16" s="334">
        <f t="shared" si="11"/>
        <v>0.5820348304307974</v>
      </c>
      <c r="X16" s="715">
        <f t="shared" si="3"/>
        <v>92.587343242037647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8.3539646549922004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131</v>
      </c>
      <c r="C17" s="481" t="s">
        <v>112</v>
      </c>
      <c r="D17" s="596">
        <v>17569495</v>
      </c>
      <c r="E17" s="298" t="s">
        <v>145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2204</v>
      </c>
      <c r="R17" s="349">
        <v>52.5</v>
      </c>
      <c r="S17" s="349">
        <v>1455</v>
      </c>
      <c r="T17" s="334">
        <f t="shared" si="0"/>
        <v>4.3103448275862073</v>
      </c>
      <c r="U17" s="334">
        <f t="shared" si="1"/>
        <v>9.3684210526315788</v>
      </c>
      <c r="V17" s="384">
        <f t="shared" si="2"/>
        <v>113.45717649085536</v>
      </c>
      <c r="W17" s="334">
        <f t="shared" si="11"/>
        <v>0.66016333938294014</v>
      </c>
      <c r="X17" s="715">
        <f t="shared" si="3"/>
        <v>105.01565628644182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10.028584392014519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131</v>
      </c>
      <c r="C18" s="481" t="s">
        <v>144</v>
      </c>
      <c r="D18" s="596">
        <v>17569496</v>
      </c>
      <c r="E18" s="298" t="s">
        <v>146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2201</v>
      </c>
      <c r="R18" s="349">
        <v>52</v>
      </c>
      <c r="S18" s="349">
        <v>1507.5</v>
      </c>
      <c r="T18" s="334">
        <f t="shared" si="0"/>
        <v>3.8793103448275863</v>
      </c>
      <c r="U18" s="334">
        <f t="shared" si="1"/>
        <v>9.0964912280701746</v>
      </c>
      <c r="V18" s="384">
        <f t="shared" si="2"/>
        <v>110.16394383990355</v>
      </c>
      <c r="W18" s="334">
        <f t="shared" si="11"/>
        <v>0.68491594729668337</v>
      </c>
      <c r="X18" s="715">
        <f t="shared" si="3"/>
        <v>108.95318387967717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9.7814071753668586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131</v>
      </c>
      <c r="C19" s="481" t="s">
        <v>112</v>
      </c>
      <c r="D19" s="596">
        <v>17569497</v>
      </c>
      <c r="E19" s="298" t="s">
        <v>147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2200</v>
      </c>
      <c r="R19" s="349">
        <v>53.5</v>
      </c>
      <c r="S19" s="349">
        <v>1487.5</v>
      </c>
      <c r="T19" s="334">
        <f t="shared" si="0"/>
        <v>1.9827586206896552</v>
      </c>
      <c r="U19" s="334">
        <f t="shared" si="1"/>
        <v>8.8157894736842106</v>
      </c>
      <c r="V19" s="384">
        <f t="shared" si="2"/>
        <v>106.76447787763075</v>
      </c>
      <c r="W19" s="334">
        <f t="shared" si="11"/>
        <v>0.67613636363636365</v>
      </c>
      <c r="X19" s="715">
        <f t="shared" si="3"/>
        <v>107.55656930718062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9.4919258373205739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131</v>
      </c>
      <c r="C20" s="481" t="s">
        <v>148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2237</v>
      </c>
      <c r="R20" s="349">
        <v>53</v>
      </c>
      <c r="S20" s="349">
        <v>1487.5</v>
      </c>
      <c r="T20" s="334">
        <f t="shared" si="0"/>
        <v>4.0517241379310347</v>
      </c>
      <c r="U20" s="334">
        <f t="shared" si="1"/>
        <v>7.8859649122807021</v>
      </c>
      <c r="V20" s="384">
        <f t="shared" si="2"/>
        <v>95.503746877602026</v>
      </c>
      <c r="W20" s="334">
        <f t="shared" si="11"/>
        <v>0.6649530621367904</v>
      </c>
      <c r="X20" s="715">
        <f t="shared" si="3"/>
        <v>105.77758268922548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8.5509179744174926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131</v>
      </c>
      <c r="C21" s="481" t="s">
        <v>148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2231</v>
      </c>
      <c r="R21" s="349">
        <v>54</v>
      </c>
      <c r="S21" s="349">
        <v>1507.5</v>
      </c>
      <c r="T21" s="334">
        <f t="shared" si="0"/>
        <v>3.3620689655172415</v>
      </c>
      <c r="U21" s="334">
        <f t="shared" si="1"/>
        <v>6.9736842105263159</v>
      </c>
      <c r="V21" s="384">
        <f t="shared" si="2"/>
        <v>84.455482500215368</v>
      </c>
      <c r="W21" s="334">
        <f t="shared" si="11"/>
        <v>0.67570596145226358</v>
      </c>
      <c r="X21" s="715">
        <f t="shared" si="3"/>
        <v>107.48810296690696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7.6493901719785793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131</v>
      </c>
      <c r="C22" s="481" t="s">
        <v>148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2233</v>
      </c>
      <c r="R22" s="349">
        <v>52.5</v>
      </c>
      <c r="S22" s="349">
        <v>1655</v>
      </c>
      <c r="T22" s="334">
        <f t="shared" si="0"/>
        <v>4.1379310344827589</v>
      </c>
      <c r="U22" s="334">
        <f t="shared" si="1"/>
        <v>9.2982456140350873</v>
      </c>
      <c r="V22" s="384">
        <f t="shared" si="2"/>
        <v>112.60731000028714</v>
      </c>
      <c r="W22" s="334">
        <f t="shared" si="11"/>
        <v>0.74115539632781013</v>
      </c>
      <c r="X22" s="715">
        <f t="shared" si="3"/>
        <v>117.89948897852145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10.039401010362898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131</v>
      </c>
      <c r="C23" s="481" t="s">
        <v>149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2192</v>
      </c>
      <c r="R23" s="349">
        <v>49.5</v>
      </c>
      <c r="S23" s="349">
        <v>1347.5</v>
      </c>
      <c r="T23" s="334">
        <f t="shared" si="0"/>
        <v>4.568965517241379</v>
      </c>
      <c r="U23" s="334">
        <f t="shared" si="1"/>
        <v>8.2192982456140342</v>
      </c>
      <c r="V23" s="384">
        <f t="shared" si="2"/>
        <v>99.540612707800989</v>
      </c>
      <c r="W23" s="334">
        <f t="shared" si="11"/>
        <v>0.61473540145985406</v>
      </c>
      <c r="X23" s="715">
        <f t="shared" si="3"/>
        <v>97.789195151547872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8.8340336470738876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131</v>
      </c>
      <c r="C24" s="481" t="s">
        <v>150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2186</v>
      </c>
      <c r="R24" s="349">
        <v>50</v>
      </c>
      <c r="S24" s="349">
        <v>1225</v>
      </c>
      <c r="T24" s="334">
        <f t="shared" si="0"/>
        <v>2.0689655172413794</v>
      </c>
      <c r="U24" s="334">
        <f t="shared" si="1"/>
        <v>6.7017543859649127</v>
      </c>
      <c r="V24" s="384">
        <f t="shared" si="2"/>
        <v>81.162249849263574</v>
      </c>
      <c r="W24" s="334">
        <f t="shared" si="11"/>
        <v>0.56038426349496795</v>
      </c>
      <c r="X24" s="715">
        <f t="shared" si="3"/>
        <v>89.143273630621678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7.2621386494598807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131</v>
      </c>
      <c r="C25" s="481" t="s">
        <v>151</v>
      </c>
      <c r="D25" s="596">
        <v>17553145</v>
      </c>
      <c r="E25" s="298" t="s">
        <v>153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2180</v>
      </c>
      <c r="R25" s="349">
        <v>51.5</v>
      </c>
      <c r="S25" s="349">
        <v>1435</v>
      </c>
      <c r="T25" s="334">
        <f t="shared" si="0"/>
        <v>3.7931034482758621</v>
      </c>
      <c r="U25" s="334">
        <f t="shared" si="1"/>
        <v>6.6140350877192979</v>
      </c>
      <c r="V25" s="384">
        <f t="shared" si="2"/>
        <v>80.099916736053316</v>
      </c>
      <c r="W25" s="334">
        <f t="shared" si="11"/>
        <v>0.65825688073394495</v>
      </c>
      <c r="X25" s="715">
        <f t="shared" si="3"/>
        <v>104.71238587703931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7.272291968453243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131</v>
      </c>
      <c r="C26" s="481" t="s">
        <v>152</v>
      </c>
      <c r="D26" s="596">
        <v>17553147</v>
      </c>
      <c r="E26" s="298" t="s">
        <v>154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2229</v>
      </c>
      <c r="R26" s="349">
        <v>52</v>
      </c>
      <c r="S26" s="349">
        <v>1725</v>
      </c>
      <c r="T26" s="334">
        <f t="shared" si="0"/>
        <v>3.7931034482758621</v>
      </c>
      <c r="U26" s="334">
        <f t="shared" si="1"/>
        <v>9.1578947368421044</v>
      </c>
      <c r="V26" s="384">
        <f t="shared" si="2"/>
        <v>110.90757701915072</v>
      </c>
      <c r="W26" s="334">
        <f t="shared" si="11"/>
        <v>0.77388963660834453</v>
      </c>
      <c r="X26" s="715">
        <f t="shared" si="3"/>
        <v>123.10669683303752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9.9317843734504496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131</v>
      </c>
      <c r="C27" s="481" t="s">
        <v>110</v>
      </c>
      <c r="D27" s="596">
        <v>17553146</v>
      </c>
      <c r="E27" s="298" t="s">
        <v>155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2229</v>
      </c>
      <c r="R27" s="349">
        <v>53.5</v>
      </c>
      <c r="S27" s="349">
        <v>1420</v>
      </c>
      <c r="T27" s="334">
        <f t="shared" si="0"/>
        <v>2.0689655172413794</v>
      </c>
      <c r="U27" s="334">
        <f t="shared" si="1"/>
        <v>7.2280701754385968</v>
      </c>
      <c r="V27" s="384">
        <f t="shared" si="2"/>
        <v>87.536248528525107</v>
      </c>
      <c r="W27" s="334">
        <f t="shared" si="11"/>
        <v>0.63705697622252133</v>
      </c>
      <c r="X27" s="715">
        <f t="shared" si="3"/>
        <v>101.34000550893525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7.8651271516611185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131</v>
      </c>
      <c r="C28" s="481" t="s">
        <v>156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2192</v>
      </c>
      <c r="R28" s="349">
        <v>51</v>
      </c>
      <c r="S28" s="349">
        <v>1425</v>
      </c>
      <c r="T28" s="334">
        <f t="shared" si="0"/>
        <v>2.5862068965517242</v>
      </c>
      <c r="U28" s="334">
        <f t="shared" si="1"/>
        <v>8.4912280701754383</v>
      </c>
      <c r="V28" s="384">
        <f t="shared" si="2"/>
        <v>102.8338453587528</v>
      </c>
      <c r="W28" s="334">
        <f t="shared" si="11"/>
        <v>0.65009124087591241</v>
      </c>
      <c r="X28" s="715">
        <f t="shared" si="3"/>
        <v>103.4134345758484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9.1413193110513511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131</v>
      </c>
      <c r="C29" s="481" t="s">
        <v>95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2179</v>
      </c>
      <c r="R29" s="349">
        <v>50</v>
      </c>
      <c r="S29" s="349">
        <v>1300</v>
      </c>
      <c r="T29" s="334">
        <f t="shared" si="0"/>
        <v>4.3103448275862073</v>
      </c>
      <c r="U29" s="334">
        <f t="shared" si="1"/>
        <v>7.7719298245614032</v>
      </c>
      <c r="V29" s="384">
        <f t="shared" si="2"/>
        <v>94.12271383042868</v>
      </c>
      <c r="W29" s="334">
        <f t="shared" si="11"/>
        <v>0.59660394676457096</v>
      </c>
      <c r="X29" s="715">
        <f t="shared" si="3"/>
        <v>94.904929242397557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8.3685337713259749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131</v>
      </c>
      <c r="C30" s="481" t="s">
        <v>157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2235</v>
      </c>
      <c r="R30" s="349">
        <v>52</v>
      </c>
      <c r="S30" s="349">
        <v>1367.5</v>
      </c>
      <c r="T30" s="334">
        <f t="shared" si="0"/>
        <v>1.8103448275862069</v>
      </c>
      <c r="U30" s="334">
        <f t="shared" si="1"/>
        <v>7.5350877192982457</v>
      </c>
      <c r="V30" s="384">
        <f t="shared" si="2"/>
        <v>91.254414424760995</v>
      </c>
      <c r="W30" s="334">
        <f t="shared" si="11"/>
        <v>0.61185682326621926</v>
      </c>
      <c r="X30" s="715">
        <f t="shared" si="3"/>
        <v>97.331284570722588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8.1469445425644658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131</v>
      </c>
      <c r="C31" s="481" t="s">
        <v>113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2234</v>
      </c>
      <c r="R31" s="349">
        <v>51.5</v>
      </c>
      <c r="S31" s="349">
        <v>1455</v>
      </c>
      <c r="T31" s="334">
        <f t="shared" si="0"/>
        <v>3.2758620689655173</v>
      </c>
      <c r="U31" s="334">
        <f t="shared" si="1"/>
        <v>8.7368421052631575</v>
      </c>
      <c r="V31" s="384">
        <f t="shared" si="2"/>
        <v>105.8083780757415</v>
      </c>
      <c r="W31" s="334">
        <f t="shared" si="11"/>
        <v>0.65129811996418985</v>
      </c>
      <c r="X31" s="715">
        <f t="shared" si="3"/>
        <v>103.60541918322193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9.3881402252273478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131</v>
      </c>
      <c r="C32" s="481" t="s">
        <v>143</v>
      </c>
      <c r="D32" t="s">
        <v>241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2219</v>
      </c>
      <c r="R32" s="349">
        <v>52</v>
      </c>
      <c r="S32" s="349">
        <v>1400</v>
      </c>
      <c r="T32" s="334">
        <f t="shared" si="0"/>
        <v>2.7586206896551726</v>
      </c>
      <c r="U32" s="334">
        <f t="shared" si="1"/>
        <v>8.6666666666666661</v>
      </c>
      <c r="V32" s="384">
        <f t="shared" si="2"/>
        <v>104.95851158517328</v>
      </c>
      <c r="W32" s="334">
        <f t="shared" si="11"/>
        <v>0.63091482649842268</v>
      </c>
      <c r="X32" s="715">
        <f t="shared" si="3"/>
        <v>100.36294143129543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9.2975814931650884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131</v>
      </c>
      <c r="C33" s="481" t="s">
        <v>143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2202</v>
      </c>
      <c r="R33" s="349">
        <v>51</v>
      </c>
      <c r="S33" s="349">
        <v>1315</v>
      </c>
      <c r="T33" s="334">
        <f t="shared" si="0"/>
        <v>3.2758620689655173</v>
      </c>
      <c r="U33" s="334">
        <f t="shared" si="1"/>
        <v>8.1754385964912277</v>
      </c>
      <c r="V33" s="384">
        <f t="shared" si="2"/>
        <v>99.009446151195874</v>
      </c>
      <c r="W33" s="334">
        <f t="shared" si="11"/>
        <v>0.59718437783832878</v>
      </c>
      <c r="X33" s="715">
        <f t="shared" si="3"/>
        <v>94.997261467626387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8.7726229743295558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132</v>
      </c>
      <c r="C34" s="481" t="s">
        <v>158</v>
      </c>
      <c r="D34" s="596">
        <v>17486575</v>
      </c>
      <c r="E34" s="298" t="s">
        <v>162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2189</v>
      </c>
      <c r="R34" s="349">
        <v>52</v>
      </c>
      <c r="S34" s="349">
        <v>1327.5</v>
      </c>
      <c r="T34" s="334">
        <f t="shared" si="0"/>
        <v>1.9827586206896552</v>
      </c>
      <c r="U34" s="334">
        <f t="shared" si="1"/>
        <v>9.2017543859649127</v>
      </c>
      <c r="V34" s="384">
        <f t="shared" si="2"/>
        <v>111.43874357575586</v>
      </c>
      <c r="W34" s="334">
        <f t="shared" si="11"/>
        <v>0.60644129739607122</v>
      </c>
      <c r="X34" s="715">
        <f t="shared" si="3"/>
        <v>96.469808373147941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9.8081956833609834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132</v>
      </c>
      <c r="C35" s="481" t="s">
        <v>159</v>
      </c>
      <c r="D35" s="596">
        <v>17486530</v>
      </c>
      <c r="E35" s="298" t="s">
        <v>163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2219</v>
      </c>
      <c r="R35" s="349">
        <v>51.5</v>
      </c>
      <c r="S35" s="349">
        <v>1365</v>
      </c>
      <c r="T35" s="334">
        <f t="shared" si="0"/>
        <v>2.7586206896551726</v>
      </c>
      <c r="U35" s="334">
        <f t="shared" si="1"/>
        <v>8.7017543859649127</v>
      </c>
      <c r="V35" s="384">
        <f t="shared" si="2"/>
        <v>105.38344483045741</v>
      </c>
      <c r="W35" s="334">
        <f t="shared" si="11"/>
        <v>0.6151419558359621</v>
      </c>
      <c r="X35" s="715">
        <f t="shared" si="3"/>
        <v>97.853867895513048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9.3168963418008754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132</v>
      </c>
      <c r="C36" s="481" t="s">
        <v>158</v>
      </c>
      <c r="D36" s="596">
        <v>17403960</v>
      </c>
      <c r="E36" s="298" t="s">
        <v>164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2228</v>
      </c>
      <c r="R36" s="349">
        <v>53</v>
      </c>
      <c r="S36" s="349">
        <v>1337.5</v>
      </c>
      <c r="T36" s="334">
        <f t="shared" si="0"/>
        <v>3.3620689655172415</v>
      </c>
      <c r="U36" s="334">
        <f t="shared" si="1"/>
        <v>8.4298245614035086</v>
      </c>
      <c r="V36" s="384">
        <f t="shared" si="2"/>
        <v>102.0902121795056</v>
      </c>
      <c r="W36" s="334">
        <f t="shared" si="11"/>
        <v>0.60031418312387796</v>
      </c>
      <c r="X36" s="715">
        <f t="shared" si="3"/>
        <v>95.495136063961795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9.0301387445273864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132</v>
      </c>
      <c r="C37" s="481" t="s">
        <v>160</v>
      </c>
      <c r="D37" s="596">
        <v>17569800</v>
      </c>
      <c r="E37" s="298" t="s">
        <v>117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2212</v>
      </c>
      <c r="R37" s="349">
        <v>50</v>
      </c>
      <c r="S37" s="349">
        <v>1300</v>
      </c>
      <c r="T37" s="334">
        <f t="shared" si="0"/>
        <v>3.4482758620689653</v>
      </c>
      <c r="U37" s="334">
        <f t="shared" si="1"/>
        <v>8.7894736842105257</v>
      </c>
      <c r="V37" s="384">
        <f t="shared" si="2"/>
        <v>106.44577794366765</v>
      </c>
      <c r="W37" s="334">
        <f t="shared" si="11"/>
        <v>0.58770343580470163</v>
      </c>
      <c r="X37" s="715">
        <f t="shared" si="3"/>
        <v>93.489078128021816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9.3771771200152276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132</v>
      </c>
      <c r="C38" s="481" t="s">
        <v>161</v>
      </c>
      <c r="D38" s="596">
        <v>17517343</v>
      </c>
      <c r="E38" s="298" t="s">
        <v>165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2201</v>
      </c>
      <c r="R38" s="349">
        <v>51.5</v>
      </c>
      <c r="S38" s="349">
        <v>1245</v>
      </c>
      <c r="T38" s="334">
        <f t="shared" si="0"/>
        <v>4.3103448275862073</v>
      </c>
      <c r="U38" s="334">
        <f t="shared" si="1"/>
        <v>8.2280701754385959</v>
      </c>
      <c r="V38" s="384">
        <f t="shared" si="2"/>
        <v>99.646846019122009</v>
      </c>
      <c r="W38" s="334">
        <f t="shared" si="11"/>
        <v>0.56565197637437525</v>
      </c>
      <c r="X38" s="715">
        <f t="shared" si="3"/>
        <v>89.981236437942329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8.7937221518129718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132</v>
      </c>
      <c r="C39" s="481" t="s">
        <v>236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2221</v>
      </c>
      <c r="R39" s="349">
        <v>53.5</v>
      </c>
      <c r="S39" s="349">
        <v>1375</v>
      </c>
      <c r="T39" s="334">
        <f t="shared" si="0"/>
        <v>3.103448275862069</v>
      </c>
      <c r="U39" s="334">
        <f t="shared" si="1"/>
        <v>8.8596491228070171</v>
      </c>
      <c r="V39" s="384">
        <f t="shared" si="2"/>
        <v>107.29564443423587</v>
      </c>
      <c r="W39" s="334">
        <f t="shared" si="11"/>
        <v>0.61909049977487618</v>
      </c>
      <c r="X39" s="715">
        <f t="shared" si="3"/>
        <v>98.481983557780055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9.4787396225818927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132</v>
      </c>
      <c r="C40" s="481" t="s">
        <v>236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2219</v>
      </c>
      <c r="R40" s="349">
        <v>51</v>
      </c>
      <c r="S40" s="349">
        <v>1290</v>
      </c>
      <c r="T40" s="334">
        <f t="shared" si="0"/>
        <v>4.8275862068965516</v>
      </c>
      <c r="U40" s="334">
        <f t="shared" si="1"/>
        <v>9.3333333333333339</v>
      </c>
      <c r="V40" s="384">
        <f t="shared" si="2"/>
        <v>113.03224324557127</v>
      </c>
      <c r="W40" s="334">
        <f t="shared" si="11"/>
        <v>0.58134294727354663</v>
      </c>
      <c r="X40" s="715">
        <f t="shared" si="3"/>
        <v>92.477281747407929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9.91467628060688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132</v>
      </c>
      <c r="C41" s="481" t="s">
        <v>201</v>
      </c>
      <c r="D41" s="596">
        <v>17563608</v>
      </c>
      <c r="E41" s="298" t="s">
        <v>166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2181</v>
      </c>
      <c r="R41" s="349">
        <v>50</v>
      </c>
      <c r="S41" s="349">
        <v>1157.5</v>
      </c>
      <c r="T41" s="334">
        <f t="shared" si="0"/>
        <v>4.0517241379310347</v>
      </c>
      <c r="U41" s="334">
        <f t="shared" si="1"/>
        <v>7.8157894736842106</v>
      </c>
      <c r="V41" s="384">
        <f t="shared" si="2"/>
        <v>94.653880387033823</v>
      </c>
      <c r="W41" s="334">
        <f t="shared" si="11"/>
        <v>0.53071985327831273</v>
      </c>
      <c r="X41" s="715">
        <f t="shared" si="3"/>
        <v>84.424399798330256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8.3465093269625239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132</v>
      </c>
      <c r="C42" s="451" t="s">
        <v>201</v>
      </c>
      <c r="D42" s="598">
        <v>17563609</v>
      </c>
      <c r="E42" s="444" t="s">
        <v>167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2179</v>
      </c>
      <c r="R42" s="349">
        <v>52</v>
      </c>
      <c r="S42" s="349">
        <v>1227.5</v>
      </c>
      <c r="T42" s="334">
        <f t="shared" si="0"/>
        <v>3.0172413793103448</v>
      </c>
      <c r="U42" s="334">
        <f t="shared" si="1"/>
        <v>8.3596491228070171</v>
      </c>
      <c r="V42" s="384">
        <f t="shared" si="2"/>
        <v>101.24034568893741</v>
      </c>
      <c r="W42" s="334">
        <f t="shared" si="11"/>
        <v>0.56333180357962365</v>
      </c>
      <c r="X42" s="715">
        <f t="shared" si="3"/>
        <v>89.612154342340759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8.9229809263866411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2210.3513513513512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3.3807082945013982</v>
      </c>
      <c r="U43" s="386">
        <f t="shared" si="13"/>
        <v>8.2572309151256498</v>
      </c>
      <c r="V43" s="387" t="s">
        <v>1</v>
      </c>
      <c r="W43" s="386">
        <f>AVERAGEA(W6:W42)</f>
        <v>0.62863325596163644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357" t="s">
        <v>34</v>
      </c>
      <c r="B44" s="1358"/>
      <c r="C44" s="1358"/>
      <c r="D44" s="1358"/>
      <c r="E44" s="1358"/>
      <c r="F44" s="1358"/>
      <c r="G44" s="1325"/>
      <c r="H44" s="1325"/>
      <c r="I44" s="1325"/>
      <c r="J44" s="1325"/>
      <c r="K44" s="1325"/>
      <c r="L44" s="1325"/>
      <c r="M44" s="1358"/>
      <c r="N44" s="1358"/>
      <c r="O44" s="1358"/>
      <c r="P44" s="1325"/>
      <c r="Q44" s="1325"/>
      <c r="R44" s="1325"/>
      <c r="S44" s="1325"/>
      <c r="T44" s="1325"/>
      <c r="U44" s="1325"/>
      <c r="V44" s="1325"/>
      <c r="W44" s="1325"/>
      <c r="X44" s="1325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129</v>
      </c>
      <c r="C45" s="485" t="s">
        <v>134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2125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3.7931034482758621</v>
      </c>
      <c r="U45" s="327">
        <f t="shared" ref="U45:U64" si="17">IF(AK$2=0," ",IF(S45=0," ",IF(P45=0," ",(S45-P45)/AK$2)))</f>
        <v>8.3508771929824555</v>
      </c>
      <c r="V45" s="328">
        <f t="shared" ref="V45:V64" si="18">IF(AK$2=0," ",IF(U45=0," ",(U45/U$65)*100))</f>
        <v>104.90358126721763</v>
      </c>
      <c r="W45" s="327">
        <f t="shared" ref="W45:W64" si="19">IF(AK$2=0,P45/Q45,S45/Q45)</f>
        <v>0.54588235294117649</v>
      </c>
      <c r="X45" s="716">
        <f t="shared" ref="X45:X64" si="20">IF(W45=0," ",(W45/W$65)*100)</f>
        <v>94.217634479537153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8.8967595459236328</v>
      </c>
      <c r="AE45" s="731" t="s">
        <v>70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129</v>
      </c>
      <c r="C46" s="488" t="s">
        <v>134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2125</v>
      </c>
      <c r="R46" s="349">
        <v>51</v>
      </c>
      <c r="S46" s="349">
        <v>1285</v>
      </c>
      <c r="T46" s="334">
        <f t="shared" si="16"/>
        <v>3.2758620689655173</v>
      </c>
      <c r="U46" s="334">
        <f t="shared" si="17"/>
        <v>8.6491228070175445</v>
      </c>
      <c r="V46" s="335">
        <f t="shared" si="18"/>
        <v>108.65013774104686</v>
      </c>
      <c r="W46" s="334">
        <f t="shared" si="19"/>
        <v>0.6047058823529412</v>
      </c>
      <c r="X46" s="715">
        <f t="shared" si="20"/>
        <v>104.37039681569418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9.2538286893704864</v>
      </c>
      <c r="AE46" s="732" t="s">
        <v>70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168</v>
      </c>
      <c r="C47" s="488" t="s">
        <v>193</v>
      </c>
      <c r="D47" s="595">
        <v>17534662</v>
      </c>
      <c r="E47" s="298" t="s">
        <v>188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2158</v>
      </c>
      <c r="R47" s="349">
        <v>51</v>
      </c>
      <c r="S47" s="349">
        <v>1340</v>
      </c>
      <c r="T47" s="334">
        <f t="shared" si="16"/>
        <v>2.4137931034482758</v>
      </c>
      <c r="U47" s="334">
        <f t="shared" si="17"/>
        <v>7.9473684210526319</v>
      </c>
      <c r="V47" s="335">
        <f t="shared" si="18"/>
        <v>99.834710743801665</v>
      </c>
      <c r="W47" s="334">
        <f t="shared" si="19"/>
        <v>0.62094531974050049</v>
      </c>
      <c r="X47" s="715">
        <f t="shared" si="20"/>
        <v>107.17327433626365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8.5683137407931316</v>
      </c>
      <c r="AE47" s="732" t="s">
        <v>70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168</v>
      </c>
      <c r="C48" s="488" t="s">
        <v>194</v>
      </c>
      <c r="D48" s="595">
        <v>17553818</v>
      </c>
      <c r="E48" s="298" t="s">
        <v>220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2131</v>
      </c>
      <c r="R48" s="349">
        <v>51</v>
      </c>
      <c r="S48" s="349">
        <v>1212.5</v>
      </c>
      <c r="T48" s="334">
        <f t="shared" si="16"/>
        <v>3.8793103448275863</v>
      </c>
      <c r="U48" s="334">
        <f t="shared" si="17"/>
        <v>8.2894736842105257</v>
      </c>
      <c r="V48" s="335">
        <f t="shared" si="18"/>
        <v>104.13223140495869</v>
      </c>
      <c r="W48" s="334">
        <f t="shared" si="19"/>
        <v>0.56898169873298921</v>
      </c>
      <c r="X48" s="715">
        <f t="shared" si="20"/>
        <v>98.204511334601875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8.8584553829435144</v>
      </c>
      <c r="AE48" s="732" t="s">
        <v>70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168</v>
      </c>
      <c r="C49" s="488" t="s">
        <v>194</v>
      </c>
      <c r="D49" s="595">
        <v>17553821</v>
      </c>
      <c r="E49" s="298" t="s">
        <v>189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2126</v>
      </c>
      <c r="R49" s="349">
        <v>49</v>
      </c>
      <c r="S49" s="349">
        <v>1297.5</v>
      </c>
      <c r="T49" s="334">
        <f t="shared" si="16"/>
        <v>1.9827586206896552</v>
      </c>
      <c r="U49" s="334">
        <f t="shared" si="17"/>
        <v>8.7982456140350873</v>
      </c>
      <c r="V49" s="335">
        <f t="shared" si="18"/>
        <v>110.52341597796145</v>
      </c>
      <c r="W49" s="334">
        <f t="shared" si="19"/>
        <v>0.61030103480714959</v>
      </c>
      <c r="X49" s="715">
        <f t="shared" si="20"/>
        <v>105.33610311843063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9.4085466488422362</v>
      </c>
      <c r="AE49" s="732" t="s">
        <v>70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168</v>
      </c>
      <c r="C50" s="488" t="s">
        <v>195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2117</v>
      </c>
      <c r="R50" s="349">
        <v>49</v>
      </c>
      <c r="S50" s="349">
        <v>1045</v>
      </c>
      <c r="T50" s="334">
        <f t="shared" si="16"/>
        <v>3.4137931034482758</v>
      </c>
      <c r="U50" s="334">
        <f t="shared" si="17"/>
        <v>7.3508771929824563</v>
      </c>
      <c r="V50" s="335">
        <f t="shared" si="18"/>
        <v>92.341597796143276</v>
      </c>
      <c r="W50" s="334">
        <f t="shared" si="19"/>
        <v>0.49362305148795466</v>
      </c>
      <c r="X50" s="715">
        <f t="shared" si="20"/>
        <v>85.197837931898661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7.8445002444704111</v>
      </c>
      <c r="AE50" s="732" t="s">
        <v>70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168</v>
      </c>
      <c r="C51" s="488" t="s">
        <v>137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2161</v>
      </c>
      <c r="R51" s="349">
        <v>51.5</v>
      </c>
      <c r="S51" s="349">
        <v>1347.5</v>
      </c>
      <c r="T51" s="334">
        <f t="shared" si="16"/>
        <v>2.6724137931034484</v>
      </c>
      <c r="U51" s="334">
        <f t="shared" si="17"/>
        <v>7.9210526315789478</v>
      </c>
      <c r="V51" s="335">
        <f t="shared" si="18"/>
        <v>99.504132231404981</v>
      </c>
      <c r="W51" s="334">
        <f t="shared" si="19"/>
        <v>0.62355391022674689</v>
      </c>
      <c r="X51" s="715">
        <f t="shared" si="20"/>
        <v>107.62350912333038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8.5446065418056953</v>
      </c>
      <c r="AE51" s="732" t="s">
        <v>70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168</v>
      </c>
      <c r="C52" s="488" t="s">
        <v>137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2151</v>
      </c>
      <c r="R52" s="349">
        <v>51</v>
      </c>
      <c r="S52" s="349">
        <v>1335</v>
      </c>
      <c r="T52" s="334">
        <f t="shared" si="16"/>
        <v>3.2758620689655173</v>
      </c>
      <c r="U52" s="334">
        <f t="shared" si="17"/>
        <v>8.2807017543859658</v>
      </c>
      <c r="V52" s="335">
        <f t="shared" si="18"/>
        <v>104.02203856749314</v>
      </c>
      <c r="W52" s="334">
        <f t="shared" si="19"/>
        <v>0.62064156206415622</v>
      </c>
      <c r="X52" s="715">
        <f t="shared" si="20"/>
        <v>107.12084668483664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8.9013433164501219</v>
      </c>
      <c r="AE52" s="733" t="s">
        <v>70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168</v>
      </c>
      <c r="C53" s="488" t="s">
        <v>143</v>
      </c>
      <c r="D53" s="595">
        <v>17550668</v>
      </c>
      <c r="E53" s="298" t="s">
        <v>202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2143</v>
      </c>
      <c r="R53" s="349">
        <v>50</v>
      </c>
      <c r="S53" s="349">
        <v>1347.5</v>
      </c>
      <c r="T53" s="334">
        <f t="shared" si="16"/>
        <v>4.9137931034482758</v>
      </c>
      <c r="U53" s="334">
        <f t="shared" si="17"/>
        <v>8.3771929824561404</v>
      </c>
      <c r="V53" s="335">
        <f t="shared" si="18"/>
        <v>105.23415977961434</v>
      </c>
      <c r="W53" s="334">
        <f t="shared" si="19"/>
        <v>0.62879141390573967</v>
      </c>
      <c r="X53" s="715">
        <f t="shared" si="20"/>
        <v>108.52748633481892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9.00598439636188</v>
      </c>
      <c r="AE53" s="732" t="s">
        <v>70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168</v>
      </c>
      <c r="C54" s="488" t="s">
        <v>196</v>
      </c>
      <c r="D54" s="595">
        <v>17569498</v>
      </c>
      <c r="E54" s="298" t="s">
        <v>190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2170</v>
      </c>
      <c r="R54" s="349">
        <v>53.5</v>
      </c>
      <c r="S54" s="349">
        <v>1430</v>
      </c>
      <c r="T54" s="334">
        <f t="shared" si="16"/>
        <v>3.6206896551724137</v>
      </c>
      <c r="U54" s="334">
        <f t="shared" si="17"/>
        <v>8.7719298245614041</v>
      </c>
      <c r="V54" s="335">
        <f t="shared" si="18"/>
        <v>110.19283746556476</v>
      </c>
      <c r="W54" s="334">
        <f t="shared" si="19"/>
        <v>0.65898617511520741</v>
      </c>
      <c r="X54" s="715">
        <f t="shared" si="20"/>
        <v>113.73901031888349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9.4309159996766123</v>
      </c>
      <c r="AE54" s="732" t="s">
        <v>70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168</v>
      </c>
      <c r="C55" s="488" t="s">
        <v>196</v>
      </c>
      <c r="D55" s="595">
        <v>17569499</v>
      </c>
      <c r="E55" s="298" t="s">
        <v>191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2166</v>
      </c>
      <c r="R55" s="349">
        <v>53.5</v>
      </c>
      <c r="S55" s="349">
        <v>1392.5</v>
      </c>
      <c r="T55" s="334">
        <f t="shared" si="16"/>
        <v>2.1551724137931036</v>
      </c>
      <c r="U55" s="334">
        <f t="shared" si="17"/>
        <v>8.2192982456140342</v>
      </c>
      <c r="V55" s="335">
        <f t="shared" si="18"/>
        <v>103.25068870523417</v>
      </c>
      <c r="W55" s="334">
        <f t="shared" si="19"/>
        <v>0.64289012003693446</v>
      </c>
      <c r="X55" s="715">
        <f t="shared" si="20"/>
        <v>110.96088014897371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8.8621883656509688</v>
      </c>
      <c r="AE55" s="732" t="s">
        <v>70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168</v>
      </c>
      <c r="C56" s="488" t="s">
        <v>197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2128</v>
      </c>
      <c r="R56" s="349">
        <v>51</v>
      </c>
      <c r="S56" s="349">
        <v>1135</v>
      </c>
      <c r="T56" s="334">
        <f t="shared" si="16"/>
        <v>4.3103448275862073</v>
      </c>
      <c r="U56" s="334">
        <f t="shared" si="17"/>
        <v>7.6140350877192979</v>
      </c>
      <c r="V56" s="335">
        <f t="shared" si="18"/>
        <v>95.647382920110203</v>
      </c>
      <c r="W56" s="334">
        <f t="shared" si="19"/>
        <v>0.53336466165413532</v>
      </c>
      <c r="X56" s="715">
        <f t="shared" si="20"/>
        <v>92.057119020747052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8.1473997493734327</v>
      </c>
      <c r="AE56" s="732" t="s">
        <v>70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168</v>
      </c>
      <c r="C57" s="488" t="s">
        <v>198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2134</v>
      </c>
      <c r="R57" s="349">
        <v>49</v>
      </c>
      <c r="S57" s="349">
        <v>970</v>
      </c>
      <c r="T57" s="334">
        <f t="shared" si="16"/>
        <v>2.7586206896551726</v>
      </c>
      <c r="U57" s="334">
        <f t="shared" si="17"/>
        <v>6.6315789473684212</v>
      </c>
      <c r="V57" s="335">
        <f t="shared" si="18"/>
        <v>83.305785123966956</v>
      </c>
      <c r="W57" s="334">
        <f t="shared" si="19"/>
        <v>0.45454545454545453</v>
      </c>
      <c r="X57" s="715">
        <f t="shared" si="20"/>
        <v>78.453163506667892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7.0861244019138754</v>
      </c>
      <c r="AE57" s="732" t="s">
        <v>70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168</v>
      </c>
      <c r="C58" s="488" t="s">
        <v>201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2175</v>
      </c>
      <c r="R58" s="349">
        <v>54</v>
      </c>
      <c r="S58" s="349">
        <v>1250</v>
      </c>
      <c r="T58" s="334">
        <f t="shared" si="16"/>
        <v>2.7586206896551726</v>
      </c>
      <c r="U58" s="334">
        <f t="shared" si="17"/>
        <v>7.1228070175438596</v>
      </c>
      <c r="V58" s="335">
        <f t="shared" si="18"/>
        <v>89.47658402203858</v>
      </c>
      <c r="W58" s="334">
        <f t="shared" si="19"/>
        <v>0.57471264367816088</v>
      </c>
      <c r="X58" s="715">
        <f t="shared" si="20"/>
        <v>99.193655008430653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7.6975196612220209</v>
      </c>
      <c r="AE58" s="732" t="s">
        <v>70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168</v>
      </c>
      <c r="C59" s="488" t="s">
        <v>201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2175</v>
      </c>
      <c r="R59" s="349">
        <v>52</v>
      </c>
      <c r="S59" s="349">
        <v>1302.5</v>
      </c>
      <c r="T59" s="334">
        <f t="shared" si="16"/>
        <v>1.2931034482758621</v>
      </c>
      <c r="U59" s="334">
        <f t="shared" si="17"/>
        <v>6.9035087719298245</v>
      </c>
      <c r="V59" s="335">
        <f t="shared" si="18"/>
        <v>86.721763085399459</v>
      </c>
      <c r="W59" s="334">
        <f t="shared" si="19"/>
        <v>0.59885057471264369</v>
      </c>
      <c r="X59" s="715">
        <f t="shared" si="20"/>
        <v>103.35978851878475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7.5023593466424678</v>
      </c>
      <c r="AE59" s="732" t="s">
        <v>70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168</v>
      </c>
      <c r="C60" s="488" t="s">
        <v>201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2168</v>
      </c>
      <c r="R60" s="349">
        <v>50.5</v>
      </c>
      <c r="S60" s="349">
        <v>1230</v>
      </c>
      <c r="T60" s="334">
        <f t="shared" si="16"/>
        <v>2.5862068965517242</v>
      </c>
      <c r="U60" s="334">
        <f t="shared" si="17"/>
        <v>6.807017543859649</v>
      </c>
      <c r="V60" s="335">
        <f t="shared" si="18"/>
        <v>85.509641873278241</v>
      </c>
      <c r="W60" s="334">
        <f t="shared" si="19"/>
        <v>0.56734317343173435</v>
      </c>
      <c r="X60" s="715">
        <f t="shared" si="20"/>
        <v>97.921706849189718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7.374360717291383</v>
      </c>
      <c r="AE60" s="732" t="s">
        <v>70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168</v>
      </c>
      <c r="C61" s="488" t="s">
        <v>156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2155</v>
      </c>
      <c r="R61" s="349">
        <v>51</v>
      </c>
      <c r="S61" s="349">
        <v>1320</v>
      </c>
      <c r="T61" s="334">
        <f t="shared" si="16"/>
        <v>3.9655172413793105</v>
      </c>
      <c r="U61" s="334">
        <f t="shared" si="17"/>
        <v>8.2631578947368425</v>
      </c>
      <c r="V61" s="335">
        <f t="shared" si="18"/>
        <v>103.801652892562</v>
      </c>
      <c r="W61" s="334">
        <f t="shared" si="19"/>
        <v>0.61252900232018559</v>
      </c>
      <c r="X61" s="715">
        <f t="shared" si="20"/>
        <v>105.72064353752369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8.8756868970570277</v>
      </c>
      <c r="AE61" s="732" t="s">
        <v>70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168</v>
      </c>
      <c r="C62" s="488" t="s">
        <v>143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2170</v>
      </c>
      <c r="R62" s="349">
        <v>49</v>
      </c>
      <c r="S62" s="349">
        <v>1127.5</v>
      </c>
      <c r="T62" s="334">
        <f t="shared" si="16"/>
        <v>3.1896551724137931</v>
      </c>
      <c r="U62" s="334">
        <f t="shared" si="17"/>
        <v>7.2894736842105265</v>
      </c>
      <c r="V62" s="335">
        <f t="shared" si="18"/>
        <v>91.570247933884303</v>
      </c>
      <c r="W62" s="334">
        <f t="shared" si="19"/>
        <v>0.5195852534562212</v>
      </c>
      <c r="X62" s="715">
        <f t="shared" si="20"/>
        <v>89.678835059119677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7.8090589376667481</v>
      </c>
      <c r="AE62" s="732" t="s">
        <v>70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168</v>
      </c>
      <c r="C63" s="488" t="s">
        <v>143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2149</v>
      </c>
      <c r="R63" s="349">
        <v>49</v>
      </c>
      <c r="S63" s="349">
        <v>1127.5</v>
      </c>
      <c r="T63" s="334">
        <f t="shared" si="16"/>
        <v>2.6724137931034484</v>
      </c>
      <c r="U63" s="334">
        <f t="shared" si="17"/>
        <v>8.2894736842105257</v>
      </c>
      <c r="V63" s="335">
        <f t="shared" si="18"/>
        <v>104.13223140495869</v>
      </c>
      <c r="W63" s="334">
        <f t="shared" si="19"/>
        <v>0.52466263378315492</v>
      </c>
      <c r="X63" s="715">
        <f t="shared" si="20"/>
        <v>90.555175466863517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8.8141363179936807</v>
      </c>
      <c r="AE63" s="732" t="s">
        <v>70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168</v>
      </c>
      <c r="C64" s="650" t="s">
        <v>224</v>
      </c>
      <c r="D64" s="600">
        <v>17486578</v>
      </c>
      <c r="E64" s="651" t="s">
        <v>192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2162</v>
      </c>
      <c r="R64" s="662">
        <v>50.5</v>
      </c>
      <c r="S64" s="662">
        <v>1260</v>
      </c>
      <c r="T64" s="663">
        <f t="shared" si="16"/>
        <v>4.3103448275862073</v>
      </c>
      <c r="U64" s="663">
        <f t="shared" si="17"/>
        <v>9.3333333333333339</v>
      </c>
      <c r="V64" s="664">
        <f t="shared" si="18"/>
        <v>117.24517906336092</v>
      </c>
      <c r="W64" s="663">
        <f t="shared" si="19"/>
        <v>0.58279370952821463</v>
      </c>
      <c r="X64" s="688">
        <f t="shared" si="20"/>
        <v>100.58842240540397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9.9161270428615484</v>
      </c>
      <c r="AE64" s="734" t="s">
        <v>70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2149.4499999999998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3.1620689655172414</v>
      </c>
      <c r="U65" s="745">
        <f>AVERAGEA(U45:U64)</f>
        <v>7.9605263157894726</v>
      </c>
      <c r="V65" s="746"/>
      <c r="W65" s="745">
        <f>AVERAGEA(W45:W64)</f>
        <v>0.57938448142607002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325" t="s">
        <v>106</v>
      </c>
      <c r="B66" s="1325"/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172</v>
      </c>
      <c r="C67" s="667" t="s">
        <v>221</v>
      </c>
      <c r="D67" s="598">
        <v>1249286</v>
      </c>
      <c r="E67" s="668" t="s">
        <v>187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2190</v>
      </c>
      <c r="R67" s="680">
        <v>52.5</v>
      </c>
      <c r="S67" s="680">
        <v>1312.5</v>
      </c>
      <c r="T67" s="681">
        <f>IF(AK$2=0," ",IF(AM$2=0," ",IF(S67=0," ",IF(AO67=0," ",(S67-AO67)/(AM$2)))))</f>
        <v>3.1896551724137931</v>
      </c>
      <c r="U67" s="681">
        <f>IF(AK$2=0," ",IF(S67=0," ",IF(P67=0," ",(S67-P67)/AK$2)))</f>
        <v>7.2368421052631575</v>
      </c>
      <c r="V67" s="682">
        <f>IF(AK$2=0," ",IF(U67=0," ",(U67/U$68)*100))</f>
        <v>100</v>
      </c>
      <c r="W67" s="681">
        <f>IF(AK$2=0,P67/Q67,S67/Q67)</f>
        <v>0.59931506849315064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7.836157173756308</v>
      </c>
      <c r="AE67" s="704" t="s">
        <v>219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2190</v>
      </c>
      <c r="R68" s="342">
        <f>AVERAGEA(R67)</f>
        <v>52.5</v>
      </c>
      <c r="S68" s="343">
        <f>AVERAGEA(S67)</f>
        <v>1312.5</v>
      </c>
      <c r="T68" s="317">
        <f>AVERAGE(T67)</f>
        <v>3.1896551724137931</v>
      </c>
      <c r="U68" s="317">
        <f>AVERAGE(U67)</f>
        <v>7.2368421052631575</v>
      </c>
      <c r="V68" s="317"/>
      <c r="W68" s="317">
        <f>AVERAGE(W67)</f>
        <v>0.59931506849315064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324" t="s">
        <v>107</v>
      </c>
      <c r="B69" s="1325"/>
      <c r="C69" s="1325"/>
      <c r="D69" s="1325"/>
      <c r="E69" s="1325"/>
      <c r="F69" s="1325"/>
      <c r="G69" s="1325"/>
      <c r="H69" s="1325"/>
      <c r="I69" s="1325"/>
      <c r="J69" s="1325"/>
      <c r="K69" s="1325"/>
      <c r="L69" s="1325"/>
      <c r="M69" s="1325"/>
      <c r="N69" s="1325"/>
      <c r="O69" s="1325"/>
      <c r="P69" s="1325"/>
      <c r="Q69" s="1325"/>
      <c r="R69" s="1325"/>
      <c r="S69" s="1325"/>
      <c r="T69" s="1325"/>
      <c r="U69" s="1325"/>
      <c r="V69" s="1325"/>
      <c r="W69" s="1325"/>
      <c r="X69" s="1325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129</v>
      </c>
      <c r="C70" s="308" t="s">
        <v>205</v>
      </c>
      <c r="D70" s="601">
        <v>1243855</v>
      </c>
      <c r="E70" s="361" t="s">
        <v>186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2151</v>
      </c>
      <c r="R70" s="326">
        <v>54</v>
      </c>
      <c r="S70" s="326">
        <v>1232.5</v>
      </c>
      <c r="T70" s="327">
        <f>IF(AK$2=0," ",IF(AM$2=0," ",IF(S70=0," ",IF(AO70=0," ",(S70-AO70)/(AM$2)))))</f>
        <v>3.5344827586206895</v>
      </c>
      <c r="U70" s="327">
        <f>IF(AK$2=0," ",IF(S70=0," ",IF(P70=0," ",(S70-P70)/AK$2)))</f>
        <v>7.9210526315789478</v>
      </c>
      <c r="V70" s="328">
        <f>IF(AK$2=0," ",IF(U70=0," ",(U70/U$71)*100))</f>
        <v>100</v>
      </c>
      <c r="W70" s="327">
        <f>IF(AK$2=0,P70/Q70,S70/Q70)</f>
        <v>0.57298930729893072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8.4940419388778778</v>
      </c>
      <c r="AE70" s="704" t="s">
        <v>218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2151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3.5344827586206895</v>
      </c>
      <c r="U71" s="638">
        <f t="shared" si="34"/>
        <v>7.9210526315789478</v>
      </c>
      <c r="V71" s="638"/>
      <c r="W71" s="638">
        <f t="shared" si="34"/>
        <v>0.57298930729893072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357" t="s">
        <v>239</v>
      </c>
      <c r="B72" s="1358"/>
      <c r="C72" s="1358"/>
      <c r="D72" s="1358"/>
      <c r="E72" s="1358"/>
      <c r="F72" s="1358"/>
      <c r="G72" s="1358"/>
      <c r="H72" s="1358"/>
      <c r="I72" s="1358"/>
      <c r="J72" s="1358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172</v>
      </c>
      <c r="C73" s="304" t="s">
        <v>230</v>
      </c>
      <c r="D73" s="602" t="s">
        <v>232</v>
      </c>
      <c r="E73" s="305" t="s">
        <v>185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2181</v>
      </c>
      <c r="R73" s="347">
        <v>52.5</v>
      </c>
      <c r="S73" s="347">
        <v>1387.5</v>
      </c>
      <c r="T73" s="327">
        <f>IF(AK$2=0," ",IF(AM$2=0," ",IF(S73=0," ",IF(AO73=0," ",(S73-AO73)/(AM$2)))))</f>
        <v>2.6724137931034484</v>
      </c>
      <c r="U73" s="327">
        <f>IF(AK$2=0," ",IF(S73=0," ",IF(P73=0," ",(S73-P73)/AK$2)))</f>
        <v>7.0438596491228074</v>
      </c>
      <c r="V73" s="328">
        <f>IF(AK$2=0," ",IF(U73=0," ",(U73/U$74)*100))</f>
        <v>100</v>
      </c>
      <c r="W73" s="327">
        <f>IF(AK$2=0,P73/Q73,S73/Q73)</f>
        <v>0.63617606602475929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7.6800357151475662</v>
      </c>
      <c r="AE73" s="704" t="s">
        <v>217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2181</v>
      </c>
      <c r="R74" s="342">
        <f t="shared" si="35"/>
        <v>52.5</v>
      </c>
      <c r="S74" s="343">
        <f t="shared" si="35"/>
        <v>1387.5</v>
      </c>
      <c r="T74" s="317">
        <f t="shared" si="35"/>
        <v>2.6724137931034484</v>
      </c>
      <c r="U74" s="317">
        <f t="shared" si="35"/>
        <v>7.0438596491228074</v>
      </c>
      <c r="V74" s="318" t="s">
        <v>1</v>
      </c>
      <c r="W74" s="317">
        <f>AVERAGEA(W73:W73)</f>
        <v>0.63617606602475929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357" t="s">
        <v>238</v>
      </c>
      <c r="B75" s="1358"/>
      <c r="C75" s="1358"/>
      <c r="D75" s="1358"/>
      <c r="E75" s="1358"/>
      <c r="F75" s="1358"/>
      <c r="G75" s="1358"/>
      <c r="H75" s="1358"/>
      <c r="I75" s="1358"/>
      <c r="J75" s="1358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204</v>
      </c>
      <c r="D76" s="601">
        <v>1244195</v>
      </c>
      <c r="E76" s="361" t="s">
        <v>127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2150</v>
      </c>
      <c r="R76" s="347">
        <v>52</v>
      </c>
      <c r="S76" s="347">
        <v>1215</v>
      </c>
      <c r="T76" s="327">
        <f>IF(AK$2=0," ",IF(AM$2=0," ",IF(S76=0," ",IF(AO76=0," ",(S76-AO76)/(AM$2)))))</f>
        <v>2.5862068965517242</v>
      </c>
      <c r="U76" s="327">
        <f>IF(AK$2=0," ",IF(S76=0," ",IF(P76=0," ",(S76-P76)/AK$2)))</f>
        <v>7.2982456140350873</v>
      </c>
      <c r="V76" s="328">
        <f>IF(AK$2=0," ",IF(U76=0," ",(U76/U$79)*100))</f>
        <v>97.46192893401016</v>
      </c>
      <c r="W76" s="327">
        <f>IF(AK$2=0,P76/Q76,S76/Q76)</f>
        <v>0.56511627906976747</v>
      </c>
      <c r="X76" s="716">
        <f>IF(W76=0," ",(W76/W$79)*100)</f>
        <v>100.89050610792117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7.8633618931048552</v>
      </c>
      <c r="AE76" s="706" t="s">
        <v>119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204</v>
      </c>
      <c r="D77" s="596">
        <v>1244196</v>
      </c>
      <c r="E77" s="320" t="s">
        <v>203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2144</v>
      </c>
      <c r="R77" s="349">
        <v>53.5</v>
      </c>
      <c r="S77" s="349">
        <v>1277.5</v>
      </c>
      <c r="T77" s="334">
        <f>IF(AK$2=0," ",IF(AM$2=0," ",IF(S77=0," ",IF(AO77=0," ",(S77-AO77)/(AM$2)))))</f>
        <v>2.6724137931034484</v>
      </c>
      <c r="U77" s="334">
        <f>IF(AK$2=0," ",IF(S77=0," ",IF(P77=0," ",(S77-P77)/AK$2)))</f>
        <v>7.8508771929824563</v>
      </c>
      <c r="V77" s="335">
        <f>IF(AK$2=0," ",IF(U77=0," ",(U77/U$79)*100))</f>
        <v>104.84185864896524</v>
      </c>
      <c r="W77" s="334">
        <f>IF(AK$2=0,P77/Q77,S77/Q77)</f>
        <v>0.59584888059701491</v>
      </c>
      <c r="X77" s="715">
        <f>IF(W77=0," ",(W77/W$79)*100)</f>
        <v>106.37721359969787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8.4467260735794714</v>
      </c>
      <c r="AE77" s="707" t="s">
        <v>119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222</v>
      </c>
      <c r="D78" s="598">
        <v>1249780</v>
      </c>
      <c r="E78" s="364" t="s">
        <v>128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2137</v>
      </c>
      <c r="R78" s="349">
        <v>51</v>
      </c>
      <c r="S78" s="349">
        <v>1110</v>
      </c>
      <c r="T78" s="334">
        <f>IF(AK$2=0," ",IF(AM$2=0," ",IF(S78=0," ",IF(AO78=0," ",(S78-AO78)/(AM$2)))))</f>
        <v>1.896551724137931</v>
      </c>
      <c r="U78" s="334">
        <f>IF(AK$2=0," ",IF(S78=0," ",IF(P78=0," ",(S78-P78)/AK$2)))</f>
        <v>7.3157894736842106</v>
      </c>
      <c r="V78" s="335">
        <f>IF(AK$2=0," ",IF(U78=0," ",(U78/U$79)*100))</f>
        <v>97.696212417024611</v>
      </c>
      <c r="W78" s="334">
        <f>IF(AK$2=0,P78/Q78,S78/Q78)</f>
        <v>0.51941974730931217</v>
      </c>
      <c r="X78" s="715">
        <f>IF(W78=0," ",(W78/W$79)*100)</f>
        <v>92.732280292380921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7.8352092209935229</v>
      </c>
      <c r="AE78" s="708" t="s">
        <v>119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2143.6666666666665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2.3850574712643677</v>
      </c>
      <c r="U79" s="317">
        <f t="shared" si="38"/>
        <v>7.4883040935672511</v>
      </c>
      <c r="V79" s="318"/>
      <c r="W79" s="317">
        <f>AVERAGEA(W76:W78)</f>
        <v>0.56012830232536492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357" t="s">
        <v>237</v>
      </c>
      <c r="B80" s="1358"/>
      <c r="C80" s="1358"/>
      <c r="D80" s="1358"/>
      <c r="E80" s="1358"/>
      <c r="F80" s="1358"/>
      <c r="G80" s="1325"/>
      <c r="H80" s="1325"/>
      <c r="I80" s="1325"/>
      <c r="J80" s="1325"/>
      <c r="K80" s="1325"/>
      <c r="L80" s="1325"/>
      <c r="M80" s="1325"/>
      <c r="N80" s="1325"/>
      <c r="O80" s="1325"/>
      <c r="P80" s="1325"/>
      <c r="Q80" s="1325"/>
      <c r="R80" s="1325"/>
      <c r="S80" s="1325"/>
      <c r="T80" s="1325"/>
      <c r="U80" s="1325"/>
      <c r="V80" s="1325"/>
      <c r="W80" s="1325"/>
      <c r="X80" s="1325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207</v>
      </c>
      <c r="D81" s="599">
        <v>1561755</v>
      </c>
      <c r="E81" s="361" t="s">
        <v>182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2203</v>
      </c>
      <c r="R81" s="378">
        <v>53</v>
      </c>
      <c r="S81" s="378">
        <v>1472.5</v>
      </c>
      <c r="T81" s="327">
        <f>IF(AK$2=0," ",IF(AM$2=0," ",IF(S81=0," ",IF(AO81=0," ",(S81-AO81)/(AM$2)))))</f>
        <v>2.6724137931034484</v>
      </c>
      <c r="U81" s="327">
        <f>IF(AK$2=0," ",IF(S81=0," ",IF(P81=0," ",(S81-P81)/AK$2)))</f>
        <v>8.1666666666666661</v>
      </c>
      <c r="V81" s="328">
        <f>IF(AK$2=0," ",IF(U81=0," ",(U81/U$84)*100))</f>
        <v>105.83554376657824</v>
      </c>
      <c r="W81" s="327">
        <f>IF(AK$2=0,P81/Q81,S81/Q81)</f>
        <v>0.66840671811166597</v>
      </c>
      <c r="X81" s="716">
        <f>IF(W81=0," ",(W81/W$84)*100)</f>
        <v>105.25540703179166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8.8350733847783314</v>
      </c>
      <c r="AE81" s="706" t="s">
        <v>68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208</v>
      </c>
      <c r="D82" s="595">
        <v>1596497</v>
      </c>
      <c r="E82" s="320" t="s">
        <v>183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2228</v>
      </c>
      <c r="R82" s="377">
        <v>52</v>
      </c>
      <c r="S82" s="377">
        <v>1265</v>
      </c>
      <c r="T82" s="334">
        <f>IF(AK$2=0," ",IF(AM$2=0," ",IF(S82=0," ",IF(AO82=0," ",(S82-AO82)/(AM$2)))))</f>
        <v>2.9310344827586206</v>
      </c>
      <c r="U82" s="334">
        <f>IF(AK$2=0," ",IF(S82=0," ",IF(P82=0," ",(S82-P82)/AK$2)))</f>
        <v>6.0350877192982457</v>
      </c>
      <c r="V82" s="335">
        <f>IF(AK$2=0," ",IF(U82=0," ",(U82/U$84)*100))</f>
        <v>78.211443728685111</v>
      </c>
      <c r="W82" s="334">
        <f>IF(AK$2=0,P82/Q82,S82/Q82)</f>
        <v>0.56777378815080792</v>
      </c>
      <c r="X82" s="715">
        <f>IF(W82=0," ",(W82/W$84)*100)</f>
        <v>89.408528601610556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6.6028615074490533</v>
      </c>
      <c r="AE82" s="707" t="s">
        <v>68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209</v>
      </c>
      <c r="D83" s="600">
        <v>1596496</v>
      </c>
      <c r="E83" s="372" t="s">
        <v>184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2220</v>
      </c>
      <c r="R83" s="377">
        <v>52</v>
      </c>
      <c r="S83" s="377">
        <v>1485</v>
      </c>
      <c r="T83" s="334">
        <f>IF(AK$2=0," ",IF(AM$2=0," ",IF(S83=0," ",IF(AO83=0," ",(S83-AO83)/(AM$2)))))</f>
        <v>3.6206896551724137</v>
      </c>
      <c r="U83" s="334">
        <f>IF(AK$2=0," ",IF(S83=0," ",IF(P83=0," ",(S83-P83)/AK$2)))</f>
        <v>8.9473684210526319</v>
      </c>
      <c r="V83" s="335">
        <f>IF(AK$2=0," ",IF(U83=0," ",(U83/U$84)*100))</f>
        <v>115.95301250473666</v>
      </c>
      <c r="W83" s="334">
        <f>IF(AK$2=0,P83/Q83,S83/Q83)</f>
        <v>0.66891891891891897</v>
      </c>
      <c r="X83" s="715">
        <f>IF(W83=0," ",(W83/W$84)*100)</f>
        <v>105.33606436659781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9.6162873399715512</v>
      </c>
      <c r="AE83" s="708" t="s">
        <v>68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2217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3.0747126436781613</v>
      </c>
      <c r="U84" s="317">
        <f t="shared" si="41"/>
        <v>7.716374269005847</v>
      </c>
      <c r="V84" s="318"/>
      <c r="W84" s="317">
        <f>AVERAGEA(W81:W83)</f>
        <v>0.63503314172713088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357" t="s">
        <v>92</v>
      </c>
      <c r="B85" s="1358"/>
      <c r="C85" s="1358"/>
      <c r="D85" s="1358"/>
      <c r="E85" s="1358"/>
      <c r="F85" s="1358"/>
      <c r="G85" s="1325"/>
      <c r="H85" s="1325"/>
      <c r="I85" s="1325"/>
      <c r="J85" s="1325"/>
      <c r="K85" s="1325"/>
      <c r="L85" s="1325"/>
      <c r="M85" s="1325"/>
      <c r="N85" s="1325"/>
      <c r="O85" s="1325"/>
      <c r="P85" s="1325"/>
      <c r="Q85" s="1325"/>
      <c r="R85" s="1325"/>
      <c r="S85" s="1325"/>
      <c r="T85" s="1325"/>
      <c r="U85" s="1325"/>
      <c r="V85" s="1325"/>
      <c r="W85" s="1325"/>
      <c r="X85" s="1325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140</v>
      </c>
      <c r="D86" s="603">
        <v>2716514</v>
      </c>
      <c r="E86" s="502" t="s">
        <v>171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2225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2.3275862068965516</v>
      </c>
      <c r="U86" s="327">
        <f t="shared" ref="U86:U91" si="45">IF(AK$2=0," ",IF(S86=0," ",IF(P86=0," ",(S86-P86)/AK$2)))</f>
        <v>6.6578947368421053</v>
      </c>
      <c r="V86" s="328">
        <f t="shared" ref="V86:V91" si="46">IF(AK$2=0," ",IF(U86=0," ",(U86/U$92)*100))</f>
        <v>91.796008869179602</v>
      </c>
      <c r="W86" s="327">
        <f t="shared" ref="W86:W91" si="47">IF(AK$2=0,P86/Q86,S86/Q86)</f>
        <v>0.63033707865168542</v>
      </c>
      <c r="X86" s="772">
        <f t="shared" ref="X86:X91" si="48">IF(W86=0," ",(W86/W$92)*100)</f>
        <v>99.89606788085203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7.2882318154937904</v>
      </c>
      <c r="AE86" s="706" t="s">
        <v>93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210</v>
      </c>
      <c r="D87" s="595">
        <v>2736585</v>
      </c>
      <c r="E87" s="507" t="s">
        <v>177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2202</v>
      </c>
      <c r="R87" s="349">
        <v>52.5</v>
      </c>
      <c r="S87" s="349">
        <v>1455</v>
      </c>
      <c r="T87" s="334">
        <f t="shared" si="44"/>
        <v>4.6551724137931032</v>
      </c>
      <c r="U87" s="334">
        <f t="shared" si="45"/>
        <v>8.6140350877192979</v>
      </c>
      <c r="V87" s="335">
        <f t="shared" si="46"/>
        <v>118.76637774642209</v>
      </c>
      <c r="W87" s="334">
        <f t="shared" si="47"/>
        <v>0.6607629427792916</v>
      </c>
      <c r="X87" s="773">
        <f t="shared" si="48"/>
        <v>104.71797078195752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9.2747980304985891</v>
      </c>
      <c r="AE87" s="707" t="s">
        <v>93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199</v>
      </c>
      <c r="D88" s="596">
        <v>2735165</v>
      </c>
      <c r="E88" s="507" t="s">
        <v>178</v>
      </c>
      <c r="F88" s="508" t="s">
        <v>118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200</v>
      </c>
      <c r="P88" s="535">
        <v>1115</v>
      </c>
      <c r="Q88" s="351">
        <f t="shared" si="43"/>
        <v>2201</v>
      </c>
      <c r="R88" s="349">
        <v>53.5</v>
      </c>
      <c r="S88" s="349">
        <v>1512.5</v>
      </c>
      <c r="T88" s="334">
        <f t="shared" si="44"/>
        <v>1.9827586206896552</v>
      </c>
      <c r="U88" s="334">
        <f t="shared" si="45"/>
        <v>6.9736842105263159</v>
      </c>
      <c r="V88" s="335">
        <f t="shared" si="46"/>
        <v>96.149969764160446</v>
      </c>
      <c r="W88" s="334">
        <f t="shared" si="47"/>
        <v>0.68718764198091775</v>
      </c>
      <c r="X88" s="773">
        <f t="shared" si="48"/>
        <v>108.90576749355698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7.6608718525072339</v>
      </c>
      <c r="AE88" s="707" t="s">
        <v>93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199</v>
      </c>
      <c r="D89" s="596">
        <v>2735167</v>
      </c>
      <c r="E89" s="507" t="s">
        <v>179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200</v>
      </c>
      <c r="P89" s="535">
        <v>1078</v>
      </c>
      <c r="Q89" s="351">
        <f t="shared" si="43"/>
        <v>2198</v>
      </c>
      <c r="R89" s="349">
        <v>53.5</v>
      </c>
      <c r="S89" s="349">
        <v>1547.5</v>
      </c>
      <c r="T89" s="334">
        <f t="shared" si="44"/>
        <v>3.5344827586206895</v>
      </c>
      <c r="U89" s="334">
        <f t="shared" si="45"/>
        <v>8.2368421052631575</v>
      </c>
      <c r="V89" s="335">
        <f t="shared" si="46"/>
        <v>113.56581334408385</v>
      </c>
      <c r="W89" s="334">
        <f t="shared" si="47"/>
        <v>0.70404913557779802</v>
      </c>
      <c r="X89" s="773">
        <f t="shared" si="48"/>
        <v>111.57798362358299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8.9408912408409549</v>
      </c>
      <c r="AE89" s="707" t="s">
        <v>93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223</v>
      </c>
      <c r="D90" s="595">
        <v>2728969</v>
      </c>
      <c r="E90" s="507" t="s">
        <v>180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200</v>
      </c>
      <c r="P90" s="535">
        <v>684</v>
      </c>
      <c r="Q90" s="351">
        <f t="shared" si="43"/>
        <v>2216</v>
      </c>
      <c r="R90" s="349">
        <v>50.5</v>
      </c>
      <c r="S90" s="349">
        <v>1065</v>
      </c>
      <c r="T90" s="334">
        <f t="shared" si="44"/>
        <v>3.4827586206896552</v>
      </c>
      <c r="U90" s="334">
        <f t="shared" si="45"/>
        <v>6.6842105263157894</v>
      </c>
      <c r="V90" s="335">
        <f t="shared" si="46"/>
        <v>92.158838943761339</v>
      </c>
      <c r="W90" s="334">
        <f t="shared" si="47"/>
        <v>0.4805956678700361</v>
      </c>
      <c r="X90" s="773">
        <f t="shared" si="48"/>
        <v>76.164990267561137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7.1648061941858252</v>
      </c>
      <c r="AE90" s="707" t="s">
        <v>93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229</v>
      </c>
      <c r="D91" s="600">
        <v>2745329</v>
      </c>
      <c r="E91" s="364" t="s">
        <v>181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2215</v>
      </c>
      <c r="R91" s="349">
        <v>52.5</v>
      </c>
      <c r="S91" s="349">
        <v>1380</v>
      </c>
      <c r="T91" s="334">
        <f t="shared" si="44"/>
        <v>3.103448275862069</v>
      </c>
      <c r="U91" s="334">
        <f t="shared" si="45"/>
        <v>6.3508771929824563</v>
      </c>
      <c r="V91" s="335">
        <f t="shared" si="46"/>
        <v>87.56299133239267</v>
      </c>
      <c r="W91" s="334">
        <f t="shared" si="47"/>
        <v>0.62302483069977421</v>
      </c>
      <c r="X91" s="773">
        <f t="shared" si="48"/>
        <v>98.737219952489255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6.9739020236822302</v>
      </c>
      <c r="AE91" s="708" t="s">
        <v>93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2209.5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3.1810344827586206</v>
      </c>
      <c r="U92" s="386">
        <f t="shared" si="51"/>
        <v>7.2529239766081872</v>
      </c>
      <c r="V92" s="387"/>
      <c r="W92" s="386">
        <f>AVERAGEA(W86:W91)</f>
        <v>0.63099288292658395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357" t="s">
        <v>120</v>
      </c>
      <c r="B93" s="1358"/>
      <c r="C93" s="1358"/>
      <c r="D93" s="1358"/>
      <c r="E93" s="1358"/>
      <c r="F93" s="1358"/>
      <c r="G93" s="1325"/>
      <c r="H93" s="1325"/>
      <c r="I93" s="1325"/>
      <c r="J93" s="1325"/>
      <c r="K93" s="1325"/>
      <c r="L93" s="1325"/>
      <c r="M93" s="1325"/>
      <c r="N93" s="1325"/>
      <c r="O93" s="1325"/>
      <c r="P93" s="1325"/>
      <c r="Q93" s="1325"/>
      <c r="R93" s="1325"/>
      <c r="S93" s="1325"/>
      <c r="T93" s="1325"/>
      <c r="U93" s="1325"/>
      <c r="V93" s="1325"/>
      <c r="W93" s="1325"/>
      <c r="X93" s="1325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210</v>
      </c>
      <c r="D94" s="602">
        <v>2736582</v>
      </c>
      <c r="E94" s="305" t="s">
        <v>176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2173</v>
      </c>
      <c r="R94" s="405">
        <v>55</v>
      </c>
      <c r="S94" s="405">
        <v>1572.5</v>
      </c>
      <c r="T94" s="406">
        <f>IF(AK$2=0," ",IF(AM$2=0," ",IF(S94=0," ",IF(AO94=0," ",(S94-AO94)/(AM$2)))))</f>
        <v>4.9137931034482758</v>
      </c>
      <c r="U94" s="406">
        <f>IF(AK$2=0," ",IF(S94=0," ",IF(P94=0," ",(S94-P94)/AK$2)))</f>
        <v>9.8157894736842106</v>
      </c>
      <c r="V94" s="407">
        <f>IF(AK$2=0," ",IF(U94=0," ",(U94/U$95)*100))</f>
        <v>100</v>
      </c>
      <c r="W94" s="406">
        <f>IF(AK$2=0,P94/Q94,S94/Q94)</f>
        <v>0.72365393465255412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10.539443408336766</v>
      </c>
      <c r="AE94" s="704" t="s">
        <v>115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214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2173</v>
      </c>
      <c r="R95" s="398">
        <f t="shared" si="53"/>
        <v>55</v>
      </c>
      <c r="S95" s="408">
        <f t="shared" si="53"/>
        <v>1572.5</v>
      </c>
      <c r="T95" s="409">
        <f t="shared" si="53"/>
        <v>4.9137931034482758</v>
      </c>
      <c r="U95" s="409">
        <f t="shared" si="53"/>
        <v>9.8157894736842106</v>
      </c>
      <c r="V95" s="410"/>
      <c r="W95" s="409">
        <f>AVERAGEA(W94:W94)</f>
        <v>0.72365393465255412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357" t="s">
        <v>169</v>
      </c>
      <c r="B96" s="1358"/>
      <c r="C96" s="1358"/>
      <c r="D96" s="1358"/>
      <c r="E96" s="1358"/>
      <c r="F96" s="1358"/>
      <c r="G96" s="1358"/>
      <c r="H96" s="1358"/>
      <c r="I96" s="1358"/>
      <c r="J96" s="1358"/>
      <c r="K96" s="1358"/>
      <c r="L96" s="1358"/>
      <c r="M96" s="1325"/>
      <c r="N96" s="1325"/>
      <c r="O96" s="1325"/>
      <c r="P96" s="1325"/>
      <c r="Q96" s="1325"/>
      <c r="R96" s="1325"/>
      <c r="S96" s="1325"/>
      <c r="T96" s="1325"/>
      <c r="U96" s="1325"/>
      <c r="V96" s="1325"/>
      <c r="W96" s="1325"/>
      <c r="X96" s="1325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172</v>
      </c>
      <c r="C97" s="521" t="s">
        <v>225</v>
      </c>
      <c r="D97" s="604">
        <v>2716507</v>
      </c>
      <c r="E97" s="309" t="s">
        <v>174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2217</v>
      </c>
      <c r="R97" s="347">
        <v>57</v>
      </c>
      <c r="S97" s="347">
        <v>1825</v>
      </c>
      <c r="T97" s="327">
        <f>IF(AK$2=0," ",IF(AM$2=0," ",IF(S97=0," ",IF(AO97=0," ",(S97-AO97)/(AM$2)))))</f>
        <v>1.7241379310344827</v>
      </c>
      <c r="U97" s="327">
        <f>IF(AK$2=0," ",IF(S97=0," ",IF(P97=0," ",(S97-P97)/AK$2)))</f>
        <v>9.4210526315789469</v>
      </c>
      <c r="V97" s="328">
        <f>IF(AK$2=0," ",IF(U97=0," ",(U97/U$100)*100))</f>
        <v>114.70274118903525</v>
      </c>
      <c r="W97" s="327">
        <f>IF(AK$2=0,P97/Q97,S97/Q97)</f>
        <v>0.82318448353631035</v>
      </c>
      <c r="X97" s="716">
        <f>IF(W97=0," ",(W97/W$100)*100)</f>
        <v>115.6879124888909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10.244237115115258</v>
      </c>
      <c r="AE97" s="725" t="s">
        <v>216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172</v>
      </c>
      <c r="C98" s="525" t="s">
        <v>211</v>
      </c>
      <c r="D98" s="605">
        <v>2716525</v>
      </c>
      <c r="E98" s="298" t="s">
        <v>175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2206</v>
      </c>
      <c r="R98" s="349">
        <v>52</v>
      </c>
      <c r="S98" s="349">
        <v>1495</v>
      </c>
      <c r="T98" s="334">
        <f>IF(AK$2=0," ",IF(AM$2=0," ",IF(S98=0," ",IF(AO98=0," ",(S98-AO98)/(AM$2)))))</f>
        <v>3.6206896551724137</v>
      </c>
      <c r="U98" s="334">
        <f>IF(AK$2=0," ",IF(S98=0," ",IF(P98=0," ",(S98-P98)/AK$2)))</f>
        <v>7.8947368421052628</v>
      </c>
      <c r="V98" s="335">
        <f>IF(AK$2=0," ",IF(U98=0," ",(U98/U$100)*100))</f>
        <v>96.119615521537924</v>
      </c>
      <c r="W98" s="334">
        <f>IF(AK$2=0,P98/Q98,S98/Q98)</f>
        <v>0.67769718948322755</v>
      </c>
      <c r="X98" s="715">
        <f>IF(W98=0," ",(W98/W$100)*100)</f>
        <v>95.24155850715168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8.5724340315884895</v>
      </c>
      <c r="AE98" s="726" t="s">
        <v>216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172</v>
      </c>
      <c r="C99" s="530" t="s">
        <v>212</v>
      </c>
      <c r="D99" s="606">
        <v>2716506</v>
      </c>
      <c r="E99" s="444" t="s">
        <v>228</v>
      </c>
      <c r="F99" s="445" t="s">
        <v>118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2205</v>
      </c>
      <c r="R99" s="349">
        <v>51</v>
      </c>
      <c r="S99" s="349">
        <v>1397.5</v>
      </c>
      <c r="T99" s="334">
        <f>IF(AK$2=0," ",IF(AM$2=0," ",IF(S99=0," ",IF(AO99=0," ",(S99-AO99)/(AM$2)))))</f>
        <v>3.3620689655172415</v>
      </c>
      <c r="U99" s="334">
        <f>IF(AK$2=0," ",IF(S99=0," ",IF(P99=0," ",(S99-P99)/AK$2)))</f>
        <v>7.3245614035087723</v>
      </c>
      <c r="V99" s="335">
        <f>IF(AK$2=0," ",IF(U99=0," ",(U99/U$100)*100))</f>
        <v>89.177643289426854</v>
      </c>
      <c r="W99" s="334">
        <f>IF(AK$2=0,P99/Q99,S99/Q99)</f>
        <v>0.63378684807256236</v>
      </c>
      <c r="X99" s="715">
        <f>IF(W99=0," ",(W99/W$100)*100)</f>
        <v>89.070529003957361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7.9583482515813344</v>
      </c>
      <c r="AE99" s="727" t="s">
        <v>216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2209.3333333333335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2.9022988505747129</v>
      </c>
      <c r="U100" s="386">
        <f t="shared" si="55"/>
        <v>8.2134502923976598</v>
      </c>
      <c r="V100" s="387" t="s">
        <v>1</v>
      </c>
      <c r="W100" s="386">
        <f>AVERAGEA(W97:W99)</f>
        <v>0.7115561736973669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357" t="s">
        <v>170</v>
      </c>
      <c r="B101" s="1358"/>
      <c r="C101" s="1358"/>
      <c r="D101" s="1358"/>
      <c r="E101" s="1358"/>
      <c r="F101" s="1358"/>
      <c r="G101" s="1325"/>
      <c r="H101" s="1325"/>
      <c r="I101" s="1325"/>
      <c r="J101" s="1325"/>
      <c r="K101" s="1325"/>
      <c r="L101" s="1325"/>
      <c r="M101" s="1325"/>
      <c r="N101" s="1325"/>
      <c r="O101" s="1325"/>
      <c r="P101" s="1325"/>
      <c r="Q101" s="1325"/>
      <c r="R101" s="1325"/>
      <c r="S101" s="1325"/>
      <c r="T101" s="1325"/>
      <c r="U101" s="1325"/>
      <c r="V101" s="1325"/>
      <c r="W101" s="1325"/>
      <c r="X101" s="1325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129</v>
      </c>
      <c r="C102" s="304" t="s">
        <v>213</v>
      </c>
      <c r="D102" s="602">
        <v>2716518</v>
      </c>
      <c r="E102" s="434" t="s">
        <v>173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2167</v>
      </c>
      <c r="R102" s="423">
        <v>51</v>
      </c>
      <c r="S102" s="423">
        <v>1412.5</v>
      </c>
      <c r="T102" s="424">
        <f>IF(AK$2=0," ",IF(AM$2=0," ",IF(S102=0," ",IF(AO102=0," ",(S102-AO102)/(AM$2)))))</f>
        <v>3.8793103448275863</v>
      </c>
      <c r="U102" s="424">
        <f>IF(AK$2=0," ",IF(S102=0," ",IF(P102=0," ",(S102-P102)/AK$2)))</f>
        <v>8.4649122807017552</v>
      </c>
      <c r="V102" s="425">
        <f>IF(AK$2=0," ",IF(U102=0," ",(U102/U$103)*100))</f>
        <v>100</v>
      </c>
      <c r="W102" s="424">
        <f>IF(AK$2=0,P102/Q102,S102/Q102)</f>
        <v>0.65182279649284725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9.116735077194603</v>
      </c>
      <c r="AE102" s="729" t="s">
        <v>215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214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2167</v>
      </c>
      <c r="R103" s="359">
        <f t="shared" si="57"/>
        <v>51</v>
      </c>
      <c r="S103" s="385">
        <f t="shared" si="57"/>
        <v>1412.5</v>
      </c>
      <c r="T103" s="386">
        <f t="shared" si="57"/>
        <v>3.8793103448275863</v>
      </c>
      <c r="U103" s="386">
        <f t="shared" si="57"/>
        <v>8.4649122807017552</v>
      </c>
      <c r="V103" s="387" t="s">
        <v>1</v>
      </c>
      <c r="W103" s="386">
        <f>AVERAGEA(W102)</f>
        <v>0.65182279649284725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2189.6233766233768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3.2557098074339468</v>
      </c>
      <c r="U104" s="450">
        <f t="shared" si="59"/>
        <v>8.0387331966279358</v>
      </c>
      <c r="V104" s="450"/>
      <c r="W104" s="450">
        <f>AVERAGEA(W6:W42,W45:W64,W73,W76:W78,W81:W83,W86:W91,W94,W97:W99,W102,W67,W70)</f>
        <v>0.61736607042692593</v>
      </c>
    </row>
  </sheetData>
  <mergeCells count="19">
    <mergeCell ref="A69:X69"/>
    <mergeCell ref="A1:X1"/>
    <mergeCell ref="A2:X2"/>
    <mergeCell ref="G3:J3"/>
    <mergeCell ref="K3:L3"/>
    <mergeCell ref="M3:O3"/>
    <mergeCell ref="Q3:X3"/>
    <mergeCell ref="Y3:AC3"/>
    <mergeCell ref="AF3:AH3"/>
    <mergeCell ref="A5:X5"/>
    <mergeCell ref="A44:X44"/>
    <mergeCell ref="A66:X66"/>
    <mergeCell ref="A101:X101"/>
    <mergeCell ref="A72:X72"/>
    <mergeCell ref="A75:X75"/>
    <mergeCell ref="A80:X80"/>
    <mergeCell ref="A85:X85"/>
    <mergeCell ref="A93:X93"/>
    <mergeCell ref="A96:X96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/>
  <legacyDrawing r:id="rId77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activeCell="D10" sqref="D10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471" t="s">
        <v>245</v>
      </c>
      <c r="B1" s="1472"/>
      <c r="C1" s="1472"/>
      <c r="D1" s="1472"/>
      <c r="F1" s="1472" t="s">
        <v>246</v>
      </c>
      <c r="G1" s="1472"/>
      <c r="H1" s="1472"/>
      <c r="I1" s="1472"/>
      <c r="J1" s="1472"/>
      <c r="L1" s="1472" t="s">
        <v>247</v>
      </c>
      <c r="M1" s="1472"/>
      <c r="N1" s="1472"/>
      <c r="O1" s="1472"/>
    </row>
    <row r="2" spans="1:15" ht="12.75" x14ac:dyDescent="0.2">
      <c r="A2" s="840" t="s">
        <v>2</v>
      </c>
      <c r="B2" s="841" t="s">
        <v>79</v>
      </c>
      <c r="C2" s="842" t="s">
        <v>45</v>
      </c>
      <c r="D2" s="829"/>
      <c r="E2" s="830"/>
      <c r="F2" s="840" t="s">
        <v>2</v>
      </c>
      <c r="G2" s="841" t="s">
        <v>79</v>
      </c>
      <c r="H2" s="841" t="s">
        <v>102</v>
      </c>
      <c r="I2" s="842" t="s">
        <v>45</v>
      </c>
      <c r="J2" s="829"/>
      <c r="K2" s="830"/>
      <c r="L2" s="840" t="s">
        <v>2</v>
      </c>
      <c r="M2" s="841" t="s">
        <v>79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102</v>
      </c>
      <c r="C3" s="845" t="s">
        <v>103</v>
      </c>
      <c r="D3" s="831" t="s">
        <v>244</v>
      </c>
      <c r="E3" s="830"/>
      <c r="F3" s="843" t="s">
        <v>13</v>
      </c>
      <c r="G3" s="844" t="s">
        <v>102</v>
      </c>
      <c r="H3" s="844" t="s">
        <v>97</v>
      </c>
      <c r="I3" s="845" t="s">
        <v>103</v>
      </c>
      <c r="J3" s="831" t="s">
        <v>244</v>
      </c>
      <c r="K3" s="830"/>
      <c r="L3" s="843" t="s">
        <v>13</v>
      </c>
      <c r="M3" s="844" t="s">
        <v>102</v>
      </c>
      <c r="N3" s="845" t="s">
        <v>103</v>
      </c>
      <c r="O3" s="831" t="s">
        <v>244</v>
      </c>
    </row>
    <row r="4" spans="1:15" ht="14.25" x14ac:dyDescent="0.2">
      <c r="A4" s="846"/>
      <c r="B4" s="838"/>
      <c r="C4" s="839"/>
      <c r="D4" s="847"/>
      <c r="E4" s="830"/>
      <c r="F4" s="846"/>
      <c r="G4" s="838"/>
      <c r="H4" s="851"/>
      <c r="I4" s="839"/>
      <c r="J4" s="847"/>
      <c r="K4" s="830"/>
      <c r="L4" s="846"/>
      <c r="M4" s="838"/>
      <c r="N4" s="839"/>
      <c r="O4" s="847"/>
    </row>
    <row r="5" spans="1:15" ht="14.25" x14ac:dyDescent="0.2">
      <c r="A5" s="846"/>
      <c r="B5" s="832"/>
      <c r="C5" s="836"/>
      <c r="D5" s="848"/>
      <c r="E5" s="830"/>
      <c r="F5" s="846"/>
      <c r="G5" s="832"/>
      <c r="H5" s="833"/>
      <c r="I5" s="836"/>
      <c r="J5" s="848"/>
      <c r="K5" s="830"/>
      <c r="L5" s="846"/>
      <c r="M5" s="832"/>
      <c r="N5" s="836"/>
      <c r="O5" s="848"/>
    </row>
    <row r="6" spans="1:15" ht="14.25" x14ac:dyDescent="0.2">
      <c r="A6" s="846"/>
      <c r="B6" s="832"/>
      <c r="C6" s="836"/>
      <c r="D6" s="848"/>
      <c r="E6" s="830"/>
      <c r="F6" s="846"/>
      <c r="G6" s="832"/>
      <c r="H6" s="833"/>
      <c r="I6" s="836"/>
      <c r="J6" s="848"/>
      <c r="K6" s="830"/>
      <c r="L6" s="846"/>
      <c r="M6" s="832"/>
      <c r="N6" s="836"/>
      <c r="O6" s="848"/>
    </row>
    <row r="7" spans="1:15" ht="14.25" x14ac:dyDescent="0.2">
      <c r="A7" s="846"/>
      <c r="B7" s="832"/>
      <c r="C7" s="836"/>
      <c r="D7" s="848"/>
      <c r="E7" s="830"/>
      <c r="F7" s="846"/>
      <c r="G7" s="832"/>
      <c r="H7" s="833"/>
      <c r="I7" s="836"/>
      <c r="J7" s="848"/>
      <c r="K7" s="830"/>
      <c r="L7" s="846"/>
      <c r="M7" s="832"/>
      <c r="N7" s="836"/>
      <c r="O7" s="848"/>
    </row>
    <row r="8" spans="1:15" ht="14.25" x14ac:dyDescent="0.2">
      <c r="A8" s="846"/>
      <c r="B8" s="832"/>
      <c r="C8" s="836"/>
      <c r="D8" s="848"/>
      <c r="E8" s="830"/>
      <c r="F8" s="846"/>
      <c r="G8" s="832"/>
      <c r="H8" s="833"/>
      <c r="I8" s="836"/>
      <c r="J8" s="848"/>
      <c r="K8" s="830"/>
      <c r="L8" s="846"/>
      <c r="M8" s="832"/>
      <c r="N8" s="836"/>
      <c r="O8" s="848"/>
    </row>
    <row r="9" spans="1:15" ht="14.25" x14ac:dyDescent="0.2">
      <c r="A9" s="846"/>
      <c r="B9" s="832"/>
      <c r="C9" s="836"/>
      <c r="D9" s="848"/>
      <c r="E9" s="830"/>
      <c r="F9" s="846"/>
      <c r="G9" s="832"/>
      <c r="H9" s="833"/>
      <c r="I9" s="836"/>
      <c r="J9" s="848"/>
      <c r="K9" s="830"/>
      <c r="L9" s="846"/>
      <c r="M9" s="832"/>
      <c r="N9" s="836"/>
      <c r="O9" s="848"/>
    </row>
    <row r="10" spans="1:15" ht="14.25" x14ac:dyDescent="0.2">
      <c r="A10" s="846"/>
      <c r="B10" s="832"/>
      <c r="C10" s="836"/>
      <c r="D10" s="848"/>
      <c r="E10" s="830"/>
      <c r="F10" s="846"/>
      <c r="G10" s="832"/>
      <c r="H10" s="833"/>
      <c r="I10" s="836"/>
      <c r="J10" s="848"/>
      <c r="K10" s="830"/>
      <c r="L10" s="846"/>
      <c r="M10" s="832"/>
      <c r="N10" s="836"/>
      <c r="O10" s="848"/>
    </row>
    <row r="11" spans="1:15" ht="14.25" x14ac:dyDescent="0.2">
      <c r="A11" s="846"/>
      <c r="B11" s="832"/>
      <c r="C11" s="836"/>
      <c r="D11" s="848"/>
      <c r="E11" s="830"/>
      <c r="F11" s="846"/>
      <c r="G11" s="832"/>
      <c r="H11" s="833"/>
      <c r="I11" s="836"/>
      <c r="J11" s="848"/>
      <c r="K11" s="830"/>
      <c r="L11" s="846"/>
      <c r="M11" s="832"/>
      <c r="N11" s="836"/>
      <c r="O11" s="848"/>
    </row>
    <row r="12" spans="1:15" ht="14.25" x14ac:dyDescent="0.2">
      <c r="A12" s="846"/>
      <c r="B12" s="832"/>
      <c r="C12" s="836"/>
      <c r="D12" s="848"/>
      <c r="E12" s="830"/>
      <c r="F12" s="846"/>
      <c r="G12" s="832"/>
      <c r="H12" s="833"/>
      <c r="I12" s="836"/>
      <c r="J12" s="848"/>
      <c r="K12" s="830"/>
      <c r="L12" s="846"/>
      <c r="M12" s="832"/>
      <c r="N12" s="836"/>
      <c r="O12" s="848"/>
    </row>
    <row r="13" spans="1:15" ht="14.25" x14ac:dyDescent="0.2">
      <c r="A13" s="846"/>
      <c r="B13" s="832"/>
      <c r="C13" s="836"/>
      <c r="D13" s="848"/>
      <c r="E13" s="830"/>
      <c r="F13" s="846"/>
      <c r="G13" s="832"/>
      <c r="H13" s="833"/>
      <c r="I13" s="836"/>
      <c r="J13" s="848"/>
      <c r="K13" s="830"/>
      <c r="L13" s="846"/>
      <c r="M13" s="832"/>
      <c r="N13" s="836"/>
      <c r="O13" s="848"/>
    </row>
    <row r="14" spans="1:15" ht="14.25" x14ac:dyDescent="0.2">
      <c r="A14" s="846"/>
      <c r="B14" s="832"/>
      <c r="C14" s="836"/>
      <c r="D14" s="848"/>
      <c r="E14" s="830"/>
      <c r="F14" s="846"/>
      <c r="G14" s="832"/>
      <c r="H14" s="833"/>
      <c r="I14" s="836"/>
      <c r="J14" s="848"/>
      <c r="K14" s="830"/>
      <c r="L14" s="846"/>
      <c r="M14" s="832"/>
      <c r="N14" s="836"/>
      <c r="O14" s="848"/>
    </row>
    <row r="15" spans="1:15" ht="14.25" x14ac:dyDescent="0.2">
      <c r="A15" s="846"/>
      <c r="B15" s="832"/>
      <c r="C15" s="836"/>
      <c r="D15" s="848"/>
      <c r="E15" s="830"/>
      <c r="F15" s="846"/>
      <c r="G15" s="832"/>
      <c r="H15" s="833"/>
      <c r="I15" s="836"/>
      <c r="J15" s="848"/>
      <c r="K15" s="830"/>
      <c r="L15" s="846"/>
      <c r="M15" s="832"/>
      <c r="N15" s="836"/>
      <c r="O15" s="848"/>
    </row>
    <row r="16" spans="1:15" ht="14.25" x14ac:dyDescent="0.2">
      <c r="A16" s="846"/>
      <c r="B16" s="832"/>
      <c r="C16" s="836"/>
      <c r="D16" s="848"/>
      <c r="E16" s="830"/>
      <c r="F16" s="846"/>
      <c r="G16" s="832"/>
      <c r="H16" s="833"/>
      <c r="I16" s="836"/>
      <c r="J16" s="848"/>
      <c r="K16" s="830"/>
      <c r="L16" s="846"/>
      <c r="M16" s="832"/>
      <c r="N16" s="836"/>
      <c r="O16" s="848"/>
    </row>
    <row r="17" spans="1:15" ht="14.25" x14ac:dyDescent="0.2">
      <c r="A17" s="846"/>
      <c r="B17" s="832"/>
      <c r="C17" s="836"/>
      <c r="D17" s="848"/>
      <c r="E17" s="830"/>
      <c r="F17" s="846"/>
      <c r="G17" s="832"/>
      <c r="H17" s="833"/>
      <c r="I17" s="836"/>
      <c r="J17" s="848"/>
      <c r="K17" s="830"/>
      <c r="L17" s="846"/>
      <c r="M17" s="832"/>
      <c r="N17" s="836"/>
      <c r="O17" s="848"/>
    </row>
    <row r="18" spans="1:15" ht="14.25" x14ac:dyDescent="0.2">
      <c r="A18" s="846"/>
      <c r="B18" s="832"/>
      <c r="C18" s="836"/>
      <c r="D18" s="848"/>
      <c r="E18" s="830"/>
      <c r="F18" s="846"/>
      <c r="G18" s="832"/>
      <c r="H18" s="833"/>
      <c r="I18" s="836"/>
      <c r="J18" s="848"/>
      <c r="K18" s="830"/>
      <c r="L18" s="846"/>
      <c r="M18" s="832"/>
      <c r="N18" s="836"/>
      <c r="O18" s="848"/>
    </row>
    <row r="19" spans="1:15" ht="14.25" x14ac:dyDescent="0.2">
      <c r="A19" s="846"/>
      <c r="B19" s="832"/>
      <c r="C19" s="836"/>
      <c r="D19" s="848"/>
      <c r="E19" s="830"/>
      <c r="F19" s="846"/>
      <c r="G19" s="832"/>
      <c r="H19" s="833"/>
      <c r="I19" s="836"/>
      <c r="J19" s="848"/>
      <c r="K19" s="830"/>
      <c r="L19" s="846"/>
      <c r="M19" s="832"/>
      <c r="N19" s="836"/>
      <c r="O19" s="848"/>
    </row>
    <row r="20" spans="1:15" ht="14.25" x14ac:dyDescent="0.2">
      <c r="A20" s="846"/>
      <c r="B20" s="832"/>
      <c r="C20" s="836"/>
      <c r="D20" s="848"/>
      <c r="E20" s="830"/>
      <c r="F20" s="846"/>
      <c r="G20" s="832"/>
      <c r="H20" s="833"/>
      <c r="I20" s="836"/>
      <c r="J20" s="848"/>
      <c r="K20" s="830"/>
      <c r="L20" s="846"/>
      <c r="M20" s="832"/>
      <c r="N20" s="836"/>
      <c r="O20" s="848"/>
    </row>
    <row r="21" spans="1:15" ht="14.25" x14ac:dyDescent="0.2">
      <c r="A21" s="846"/>
      <c r="B21" s="832"/>
      <c r="C21" s="836"/>
      <c r="D21" s="848"/>
      <c r="E21" s="830"/>
      <c r="F21" s="846"/>
      <c r="G21" s="832"/>
      <c r="H21" s="833"/>
      <c r="I21" s="836"/>
      <c r="J21" s="848"/>
      <c r="K21" s="830"/>
      <c r="L21" s="846"/>
      <c r="M21" s="832"/>
      <c r="N21" s="836"/>
      <c r="O21" s="848"/>
    </row>
    <row r="22" spans="1:15" ht="14.25" x14ac:dyDescent="0.2">
      <c r="A22" s="846"/>
      <c r="B22" s="832"/>
      <c r="C22" s="836"/>
      <c r="D22" s="848"/>
      <c r="E22" s="830"/>
      <c r="F22" s="846"/>
      <c r="G22" s="832"/>
      <c r="H22" s="833"/>
      <c r="I22" s="836"/>
      <c r="J22" s="848"/>
      <c r="K22" s="830"/>
      <c r="L22" s="846"/>
      <c r="M22" s="832"/>
      <c r="N22" s="836"/>
      <c r="O22" s="848"/>
    </row>
    <row r="23" spans="1:15" ht="14.25" x14ac:dyDescent="0.2">
      <c r="A23" s="846"/>
      <c r="B23" s="832"/>
      <c r="C23" s="836"/>
      <c r="D23" s="848"/>
      <c r="E23" s="830"/>
      <c r="F23" s="846"/>
      <c r="G23" s="832"/>
      <c r="H23" s="833"/>
      <c r="I23" s="836"/>
      <c r="J23" s="848"/>
      <c r="K23" s="830"/>
      <c r="L23" s="846"/>
      <c r="M23" s="832"/>
      <c r="N23" s="836"/>
      <c r="O23" s="848"/>
    </row>
    <row r="24" spans="1:15" ht="14.25" x14ac:dyDescent="0.2">
      <c r="A24" s="846"/>
      <c r="B24" s="832"/>
      <c r="C24" s="836"/>
      <c r="D24" s="848"/>
      <c r="E24" s="830"/>
      <c r="F24" s="846"/>
      <c r="G24" s="832"/>
      <c r="H24" s="833"/>
      <c r="I24" s="836"/>
      <c r="J24" s="848"/>
      <c r="K24" s="830"/>
      <c r="L24" s="846"/>
      <c r="M24" s="832"/>
      <c r="N24" s="836"/>
      <c r="O24" s="848"/>
    </row>
    <row r="25" spans="1:15" ht="14.25" x14ac:dyDescent="0.2">
      <c r="A25" s="846"/>
      <c r="B25" s="832"/>
      <c r="C25" s="836"/>
      <c r="D25" s="848"/>
      <c r="E25" s="830"/>
      <c r="F25" s="846"/>
      <c r="G25" s="832"/>
      <c r="H25" s="833"/>
      <c r="I25" s="836"/>
      <c r="J25" s="848"/>
      <c r="K25" s="830"/>
      <c r="L25" s="846"/>
      <c r="M25" s="832"/>
      <c r="N25" s="836"/>
      <c r="O25" s="848"/>
    </row>
    <row r="26" spans="1:15" ht="14.25" x14ac:dyDescent="0.2">
      <c r="A26" s="846"/>
      <c r="B26" s="832"/>
      <c r="C26" s="836"/>
      <c r="D26" s="848"/>
      <c r="E26" s="830"/>
      <c r="F26" s="846"/>
      <c r="G26" s="832"/>
      <c r="H26" s="833"/>
      <c r="I26" s="836"/>
      <c r="J26" s="848"/>
      <c r="K26" s="830"/>
      <c r="L26" s="846"/>
      <c r="M26" s="832"/>
      <c r="N26" s="836"/>
      <c r="O26" s="848"/>
    </row>
    <row r="27" spans="1:15" ht="14.25" x14ac:dyDescent="0.2">
      <c r="A27" s="846"/>
      <c r="B27" s="832"/>
      <c r="C27" s="836"/>
      <c r="D27" s="848"/>
      <c r="E27" s="830"/>
      <c r="F27" s="846"/>
      <c r="G27" s="832"/>
      <c r="H27" s="833"/>
      <c r="I27" s="836"/>
      <c r="J27" s="848"/>
      <c r="K27" s="830"/>
      <c r="L27" s="846"/>
      <c r="M27" s="832"/>
      <c r="N27" s="836"/>
      <c r="O27" s="848"/>
    </row>
    <row r="28" spans="1:15" ht="14.25" x14ac:dyDescent="0.2">
      <c r="A28" s="846"/>
      <c r="B28" s="832"/>
      <c r="C28" s="836"/>
      <c r="D28" s="848"/>
      <c r="E28" s="830"/>
      <c r="F28" s="846"/>
      <c r="G28" s="832"/>
      <c r="H28" s="833"/>
      <c r="I28" s="836"/>
      <c r="J28" s="848"/>
      <c r="K28" s="830"/>
      <c r="L28" s="846"/>
      <c r="M28" s="832"/>
      <c r="N28" s="836"/>
      <c r="O28" s="848"/>
    </row>
    <row r="29" spans="1:15" ht="14.25" x14ac:dyDescent="0.2">
      <c r="A29" s="846"/>
      <c r="B29" s="832"/>
      <c r="C29" s="836"/>
      <c r="D29" s="848"/>
      <c r="E29" s="830"/>
      <c r="F29" s="846"/>
      <c r="G29" s="832"/>
      <c r="H29" s="833"/>
      <c r="I29" s="836"/>
      <c r="J29" s="848"/>
      <c r="K29" s="830"/>
      <c r="L29" s="846"/>
      <c r="M29" s="832"/>
      <c r="N29" s="836"/>
      <c r="O29" s="848"/>
    </row>
    <row r="30" spans="1:15" ht="14.25" x14ac:dyDescent="0.2">
      <c r="A30" s="846"/>
      <c r="B30" s="832"/>
      <c r="C30" s="836"/>
      <c r="D30" s="848"/>
      <c r="E30" s="830"/>
      <c r="F30" s="846"/>
      <c r="G30" s="832"/>
      <c r="H30" s="833"/>
      <c r="I30" s="836"/>
      <c r="J30" s="848"/>
      <c r="K30" s="830"/>
      <c r="L30" s="846"/>
      <c r="M30" s="832"/>
      <c r="N30" s="836"/>
      <c r="O30" s="848"/>
    </row>
    <row r="31" spans="1:15" ht="14.25" x14ac:dyDescent="0.2">
      <c r="A31" s="846"/>
      <c r="B31" s="832"/>
      <c r="C31" s="836"/>
      <c r="D31" s="848"/>
      <c r="E31" s="830"/>
      <c r="F31" s="846"/>
      <c r="G31" s="832"/>
      <c r="H31" s="833"/>
      <c r="I31" s="836"/>
      <c r="J31" s="848"/>
      <c r="K31" s="830"/>
      <c r="L31" s="846"/>
      <c r="M31" s="832"/>
      <c r="N31" s="836"/>
      <c r="O31" s="848"/>
    </row>
    <row r="32" spans="1:15" ht="14.25" x14ac:dyDescent="0.2">
      <c r="A32" s="846"/>
      <c r="B32" s="832"/>
      <c r="C32" s="836"/>
      <c r="D32" s="848"/>
      <c r="E32" s="830"/>
      <c r="F32" s="846"/>
      <c r="G32" s="832"/>
      <c r="H32" s="833"/>
      <c r="I32" s="836"/>
      <c r="J32" s="848"/>
      <c r="K32" s="830"/>
      <c r="L32" s="846"/>
      <c r="M32" s="832"/>
      <c r="N32" s="836"/>
      <c r="O32" s="848"/>
    </row>
    <row r="33" spans="1:15" ht="14.25" x14ac:dyDescent="0.2">
      <c r="A33" s="846"/>
      <c r="B33" s="832"/>
      <c r="C33" s="836"/>
      <c r="D33" s="848"/>
      <c r="E33" s="830"/>
      <c r="F33" s="846"/>
      <c r="G33" s="832"/>
      <c r="H33" s="833"/>
      <c r="I33" s="836"/>
      <c r="J33" s="848"/>
      <c r="K33" s="830"/>
      <c r="L33" s="846"/>
      <c r="M33" s="832"/>
      <c r="N33" s="836"/>
      <c r="O33" s="848"/>
    </row>
    <row r="34" spans="1:15" ht="14.25" x14ac:dyDescent="0.2">
      <c r="A34" s="846"/>
      <c r="B34" s="832"/>
      <c r="C34" s="836"/>
      <c r="D34" s="848"/>
      <c r="E34" s="830"/>
      <c r="F34" s="846"/>
      <c r="G34" s="832"/>
      <c r="H34" s="833"/>
      <c r="I34" s="836"/>
      <c r="J34" s="848"/>
      <c r="K34" s="830"/>
      <c r="L34" s="846"/>
      <c r="M34" s="832"/>
      <c r="N34" s="836"/>
      <c r="O34" s="848"/>
    </row>
    <row r="35" spans="1:15" ht="14.25" x14ac:dyDescent="0.2">
      <c r="A35" s="846"/>
      <c r="B35" s="832"/>
      <c r="C35" s="836"/>
      <c r="D35" s="848"/>
      <c r="E35" s="830"/>
      <c r="F35" s="846"/>
      <c r="G35" s="832"/>
      <c r="H35" s="833"/>
      <c r="I35" s="836"/>
      <c r="J35" s="848"/>
      <c r="K35" s="830"/>
      <c r="L35" s="846"/>
      <c r="M35" s="832"/>
      <c r="N35" s="836"/>
      <c r="O35" s="848"/>
    </row>
    <row r="36" spans="1:15" ht="14.25" x14ac:dyDescent="0.2">
      <c r="A36" s="846"/>
      <c r="B36" s="832"/>
      <c r="C36" s="836"/>
      <c r="D36" s="848"/>
      <c r="E36" s="830"/>
      <c r="F36" s="846"/>
      <c r="G36" s="832"/>
      <c r="H36" s="833"/>
      <c r="I36" s="836"/>
      <c r="J36" s="848"/>
      <c r="K36" s="830"/>
      <c r="L36" s="846"/>
      <c r="M36" s="832"/>
      <c r="N36" s="836"/>
      <c r="O36" s="848"/>
    </row>
    <row r="37" spans="1:15" ht="14.25" x14ac:dyDescent="0.2">
      <c r="A37" s="846"/>
      <c r="B37" s="832"/>
      <c r="C37" s="836"/>
      <c r="D37" s="848"/>
      <c r="E37" s="830"/>
      <c r="F37" s="846"/>
      <c r="G37" s="832"/>
      <c r="H37" s="833"/>
      <c r="I37" s="836"/>
      <c r="J37" s="848"/>
      <c r="K37" s="830"/>
      <c r="L37" s="846"/>
      <c r="M37" s="832"/>
      <c r="N37" s="836"/>
      <c r="O37" s="848"/>
    </row>
    <row r="38" spans="1:15" ht="14.25" x14ac:dyDescent="0.2">
      <c r="A38" s="846"/>
      <c r="B38" s="832"/>
      <c r="C38" s="836"/>
      <c r="D38" s="848"/>
      <c r="E38" s="830"/>
      <c r="F38" s="846"/>
      <c r="G38" s="832"/>
      <c r="H38" s="833"/>
      <c r="I38" s="836"/>
      <c r="J38" s="848"/>
      <c r="K38" s="830"/>
      <c r="L38" s="846"/>
      <c r="M38" s="832"/>
      <c r="N38" s="836"/>
      <c r="O38" s="848"/>
    </row>
    <row r="39" spans="1:15" ht="14.25" x14ac:dyDescent="0.2">
      <c r="A39" s="846"/>
      <c r="B39" s="832"/>
      <c r="C39" s="836"/>
      <c r="D39" s="848"/>
      <c r="E39" s="830"/>
      <c r="F39" s="846"/>
      <c r="G39" s="832"/>
      <c r="H39" s="833"/>
      <c r="I39" s="836"/>
      <c r="J39" s="848"/>
      <c r="K39" s="830"/>
      <c r="L39" s="846"/>
      <c r="M39" s="832"/>
      <c r="N39" s="836"/>
      <c r="O39" s="848"/>
    </row>
    <row r="40" spans="1:15" ht="14.25" x14ac:dyDescent="0.2">
      <c r="A40" s="846"/>
      <c r="B40" s="832"/>
      <c r="C40" s="836"/>
      <c r="D40" s="848"/>
      <c r="E40" s="830"/>
      <c r="F40" s="846"/>
      <c r="G40" s="832"/>
      <c r="H40" s="833"/>
      <c r="I40" s="836"/>
      <c r="J40" s="848"/>
      <c r="K40" s="830"/>
      <c r="L40" s="846"/>
      <c r="M40" s="832"/>
      <c r="N40" s="836"/>
      <c r="O40" s="848"/>
    </row>
    <row r="41" spans="1:15" ht="14.25" x14ac:dyDescent="0.2">
      <c r="A41" s="846"/>
      <c r="B41" s="832"/>
      <c r="C41" s="836"/>
      <c r="D41" s="848"/>
      <c r="E41" s="830"/>
      <c r="F41" s="846"/>
      <c r="G41" s="832"/>
      <c r="H41" s="833"/>
      <c r="I41" s="836"/>
      <c r="J41" s="848"/>
      <c r="K41" s="830"/>
      <c r="L41" s="846"/>
      <c r="M41" s="832"/>
      <c r="N41" s="836"/>
      <c r="O41" s="848"/>
    </row>
    <row r="42" spans="1:15" ht="14.25" x14ac:dyDescent="0.2">
      <c r="A42" s="846"/>
      <c r="B42" s="832"/>
      <c r="C42" s="836"/>
      <c r="D42" s="848"/>
      <c r="E42" s="830"/>
      <c r="F42" s="846"/>
      <c r="G42" s="832"/>
      <c r="H42" s="833"/>
      <c r="I42" s="836"/>
      <c r="J42" s="848"/>
      <c r="K42" s="830"/>
      <c r="L42" s="846"/>
      <c r="M42" s="832"/>
      <c r="N42" s="836"/>
      <c r="O42" s="848"/>
    </row>
    <row r="43" spans="1:15" ht="14.25" x14ac:dyDescent="0.2">
      <c r="A43" s="846"/>
      <c r="B43" s="832"/>
      <c r="C43" s="836"/>
      <c r="D43" s="848"/>
      <c r="E43" s="830"/>
      <c r="F43" s="846"/>
      <c r="G43" s="832"/>
      <c r="H43" s="833"/>
      <c r="I43" s="836"/>
      <c r="J43" s="848"/>
      <c r="K43" s="830"/>
      <c r="L43" s="846"/>
      <c r="M43" s="832"/>
      <c r="N43" s="836"/>
      <c r="O43" s="848"/>
    </row>
    <row r="44" spans="1:15" ht="14.25" x14ac:dyDescent="0.2">
      <c r="A44" s="846"/>
      <c r="B44" s="832"/>
      <c r="C44" s="836"/>
      <c r="D44" s="848"/>
      <c r="E44" s="830"/>
      <c r="F44" s="846"/>
      <c r="G44" s="832"/>
      <c r="H44" s="833"/>
      <c r="I44" s="836"/>
      <c r="J44" s="848"/>
      <c r="K44" s="830"/>
      <c r="L44" s="846"/>
      <c r="M44" s="832"/>
      <c r="N44" s="836"/>
      <c r="O44" s="848"/>
    </row>
    <row r="45" spans="1:15" ht="14.25" x14ac:dyDescent="0.2">
      <c r="A45" s="846"/>
      <c r="B45" s="832"/>
      <c r="C45" s="836"/>
      <c r="D45" s="848"/>
      <c r="E45" s="830"/>
      <c r="F45" s="846"/>
      <c r="G45" s="832"/>
      <c r="H45" s="833"/>
      <c r="I45" s="836"/>
      <c r="J45" s="848"/>
      <c r="K45" s="830"/>
      <c r="L45" s="846"/>
      <c r="M45" s="832"/>
      <c r="N45" s="836"/>
      <c r="O45" s="848"/>
    </row>
    <row r="46" spans="1:15" ht="14.25" x14ac:dyDescent="0.2">
      <c r="A46" s="846"/>
      <c r="B46" s="832"/>
      <c r="C46" s="836"/>
      <c r="D46" s="848"/>
      <c r="E46" s="830"/>
      <c r="F46" s="846"/>
      <c r="G46" s="832"/>
      <c r="H46" s="833"/>
      <c r="I46" s="836"/>
      <c r="J46" s="848"/>
      <c r="K46" s="830"/>
      <c r="L46" s="846"/>
      <c r="M46" s="832"/>
      <c r="N46" s="836"/>
      <c r="O46" s="848"/>
    </row>
    <row r="47" spans="1:15" ht="14.25" x14ac:dyDescent="0.2">
      <c r="A47" s="846"/>
      <c r="B47" s="832"/>
      <c r="C47" s="836"/>
      <c r="D47" s="848"/>
      <c r="E47" s="830"/>
      <c r="F47" s="846"/>
      <c r="G47" s="832"/>
      <c r="H47" s="833"/>
      <c r="I47" s="836"/>
      <c r="J47" s="848"/>
      <c r="K47" s="830"/>
      <c r="L47" s="846"/>
      <c r="M47" s="832"/>
      <c r="N47" s="836"/>
      <c r="O47" s="848"/>
    </row>
    <row r="48" spans="1:15" ht="14.25" x14ac:dyDescent="0.2">
      <c r="A48" s="846"/>
      <c r="B48" s="832"/>
      <c r="C48" s="836"/>
      <c r="D48" s="848"/>
      <c r="E48" s="830"/>
      <c r="F48" s="846"/>
      <c r="G48" s="832"/>
      <c r="H48" s="833"/>
      <c r="I48" s="836"/>
      <c r="J48" s="848"/>
      <c r="K48" s="830"/>
      <c r="L48" s="846"/>
      <c r="M48" s="832"/>
      <c r="N48" s="836"/>
      <c r="O48" s="848"/>
    </row>
    <row r="49" spans="1:15" ht="14.25" x14ac:dyDescent="0.2">
      <c r="A49" s="846"/>
      <c r="B49" s="832"/>
      <c r="C49" s="836"/>
      <c r="D49" s="848"/>
      <c r="E49" s="830"/>
      <c r="F49" s="846"/>
      <c r="G49" s="832"/>
      <c r="H49" s="833"/>
      <c r="I49" s="836"/>
      <c r="J49" s="848"/>
      <c r="K49" s="830"/>
      <c r="L49" s="846"/>
      <c r="M49" s="832"/>
      <c r="N49" s="836"/>
      <c r="O49" s="848"/>
    </row>
    <row r="50" spans="1:15" ht="14.25" x14ac:dyDescent="0.2">
      <c r="A50" s="846"/>
      <c r="B50" s="832"/>
      <c r="C50" s="836"/>
      <c r="D50" s="848"/>
      <c r="E50" s="830"/>
      <c r="F50" s="846"/>
      <c r="G50" s="832"/>
      <c r="H50" s="833"/>
      <c r="I50" s="836"/>
      <c r="J50" s="848"/>
      <c r="K50" s="830"/>
      <c r="L50" s="846"/>
      <c r="M50" s="832"/>
      <c r="N50" s="836"/>
      <c r="O50" s="848"/>
    </row>
    <row r="51" spans="1:15" ht="14.25" x14ac:dyDescent="0.2">
      <c r="A51" s="846"/>
      <c r="B51" s="832"/>
      <c r="C51" s="836"/>
      <c r="D51" s="848"/>
      <c r="E51" s="830"/>
      <c r="F51" s="846"/>
      <c r="G51" s="832"/>
      <c r="H51" s="833"/>
      <c r="I51" s="836"/>
      <c r="J51" s="848"/>
      <c r="K51" s="830"/>
      <c r="L51" s="846"/>
      <c r="M51" s="832"/>
      <c r="N51" s="836"/>
      <c r="O51" s="848"/>
    </row>
    <row r="52" spans="1:15" ht="14.25" x14ac:dyDescent="0.2">
      <c r="A52" s="846"/>
      <c r="B52" s="832"/>
      <c r="C52" s="836"/>
      <c r="D52" s="848"/>
      <c r="E52" s="830"/>
      <c r="F52" s="846"/>
      <c r="G52" s="832"/>
      <c r="H52" s="833"/>
      <c r="I52" s="836"/>
      <c r="J52" s="848"/>
      <c r="K52" s="830"/>
      <c r="L52" s="846"/>
      <c r="M52" s="832"/>
      <c r="N52" s="836"/>
      <c r="O52" s="848"/>
    </row>
    <row r="53" spans="1:15" ht="14.25" x14ac:dyDescent="0.2">
      <c r="A53" s="846"/>
      <c r="B53" s="832"/>
      <c r="C53" s="836"/>
      <c r="D53" s="848"/>
      <c r="E53" s="830"/>
      <c r="F53" s="846"/>
      <c r="G53" s="832"/>
      <c r="H53" s="833"/>
      <c r="I53" s="836"/>
      <c r="J53" s="848"/>
      <c r="K53" s="830"/>
      <c r="L53" s="846"/>
      <c r="M53" s="832"/>
      <c r="N53" s="836"/>
      <c r="O53" s="848"/>
    </row>
    <row r="54" spans="1:15" ht="14.25" x14ac:dyDescent="0.2">
      <c r="A54" s="846"/>
      <c r="B54" s="832"/>
      <c r="C54" s="836"/>
      <c r="D54" s="848"/>
      <c r="E54" s="830"/>
      <c r="F54" s="846"/>
      <c r="G54" s="832"/>
      <c r="H54" s="833"/>
      <c r="I54" s="836"/>
      <c r="J54" s="848"/>
      <c r="K54" s="830"/>
      <c r="L54" s="846"/>
      <c r="M54" s="832"/>
      <c r="N54" s="836"/>
      <c r="O54" s="848"/>
    </row>
    <row r="55" spans="1:15" ht="14.25" x14ac:dyDescent="0.2">
      <c r="A55" s="846"/>
      <c r="B55" s="832"/>
      <c r="C55" s="836"/>
      <c r="D55" s="848"/>
      <c r="E55" s="830"/>
      <c r="F55" s="846"/>
      <c r="G55" s="832"/>
      <c r="H55" s="833"/>
      <c r="I55" s="836"/>
      <c r="J55" s="848"/>
      <c r="K55" s="830"/>
      <c r="L55" s="846"/>
      <c r="M55" s="832"/>
      <c r="N55" s="836"/>
      <c r="O55" s="848"/>
    </row>
    <row r="56" spans="1:15" ht="14.25" x14ac:dyDescent="0.2">
      <c r="A56" s="846"/>
      <c r="B56" s="832"/>
      <c r="C56" s="836"/>
      <c r="D56" s="848"/>
      <c r="E56" s="830"/>
      <c r="F56" s="846"/>
      <c r="G56" s="832"/>
      <c r="H56" s="833"/>
      <c r="I56" s="836"/>
      <c r="J56" s="848"/>
      <c r="K56" s="830"/>
      <c r="L56" s="846"/>
      <c r="M56" s="832"/>
      <c r="N56" s="836"/>
      <c r="O56" s="848"/>
    </row>
    <row r="57" spans="1:15" ht="14.25" x14ac:dyDescent="0.2">
      <c r="A57" s="846"/>
      <c r="B57" s="832"/>
      <c r="C57" s="836"/>
      <c r="D57" s="848"/>
      <c r="E57" s="830"/>
      <c r="F57" s="846"/>
      <c r="G57" s="832"/>
      <c r="H57" s="833"/>
      <c r="I57" s="836"/>
      <c r="J57" s="848"/>
      <c r="K57" s="830"/>
      <c r="L57" s="846"/>
      <c r="M57" s="832"/>
      <c r="N57" s="836"/>
      <c r="O57" s="848"/>
    </row>
    <row r="58" spans="1:15" ht="14.25" x14ac:dyDescent="0.2">
      <c r="A58" s="846"/>
      <c r="B58" s="832"/>
      <c r="C58" s="836"/>
      <c r="D58" s="848"/>
      <c r="E58" s="830"/>
      <c r="F58" s="846"/>
      <c r="G58" s="832"/>
      <c r="H58" s="833"/>
      <c r="I58" s="836"/>
      <c r="J58" s="848"/>
      <c r="K58" s="830"/>
      <c r="L58" s="846"/>
      <c r="M58" s="832"/>
      <c r="N58" s="836"/>
      <c r="O58" s="848"/>
    </row>
    <row r="59" spans="1:15" ht="14.25" x14ac:dyDescent="0.2">
      <c r="A59" s="846"/>
      <c r="B59" s="832"/>
      <c r="C59" s="836"/>
      <c r="D59" s="848"/>
      <c r="E59" s="830"/>
      <c r="F59" s="846"/>
      <c r="G59" s="832"/>
      <c r="H59" s="833"/>
      <c r="I59" s="836"/>
      <c r="J59" s="848"/>
      <c r="K59" s="830"/>
      <c r="L59" s="846"/>
      <c r="M59" s="832"/>
      <c r="N59" s="836"/>
      <c r="O59" s="848"/>
    </row>
    <row r="60" spans="1:15" ht="14.25" x14ac:dyDescent="0.2">
      <c r="A60" s="846"/>
      <c r="B60" s="832"/>
      <c r="C60" s="836"/>
      <c r="D60" s="848"/>
      <c r="E60" s="830"/>
      <c r="F60" s="846"/>
      <c r="G60" s="832"/>
      <c r="H60" s="833"/>
      <c r="I60" s="836"/>
      <c r="J60" s="848"/>
      <c r="K60" s="830"/>
      <c r="L60" s="846"/>
      <c r="M60" s="832"/>
      <c r="N60" s="836"/>
      <c r="O60" s="848"/>
    </row>
    <row r="61" spans="1:15" ht="14.25" x14ac:dyDescent="0.2">
      <c r="A61" s="846"/>
      <c r="B61" s="832"/>
      <c r="C61" s="836"/>
      <c r="D61" s="848"/>
      <c r="E61" s="830"/>
      <c r="F61" s="846"/>
      <c r="G61" s="832"/>
      <c r="H61" s="833"/>
      <c r="I61" s="836"/>
      <c r="J61" s="848"/>
      <c r="K61" s="830"/>
      <c r="L61" s="846"/>
      <c r="M61" s="832"/>
      <c r="N61" s="836"/>
      <c r="O61" s="848"/>
    </row>
    <row r="62" spans="1:15" ht="14.25" x14ac:dyDescent="0.2">
      <c r="A62" s="846"/>
      <c r="B62" s="832"/>
      <c r="C62" s="836"/>
      <c r="D62" s="848"/>
      <c r="E62" s="830"/>
      <c r="F62" s="846"/>
      <c r="G62" s="832"/>
      <c r="H62" s="833"/>
      <c r="I62" s="836"/>
      <c r="J62" s="848"/>
      <c r="K62" s="830"/>
      <c r="L62" s="846"/>
      <c r="M62" s="832"/>
      <c r="N62" s="836"/>
      <c r="O62" s="848"/>
    </row>
    <row r="63" spans="1:15" ht="14.25" x14ac:dyDescent="0.2">
      <c r="A63" s="846"/>
      <c r="B63" s="832"/>
      <c r="C63" s="836"/>
      <c r="D63" s="848"/>
      <c r="E63" s="830"/>
      <c r="F63" s="846"/>
      <c r="G63" s="832"/>
      <c r="H63" s="833"/>
      <c r="I63" s="836"/>
      <c r="J63" s="848"/>
      <c r="K63" s="830"/>
      <c r="L63" s="846"/>
      <c r="M63" s="832"/>
      <c r="N63" s="836"/>
      <c r="O63" s="848"/>
    </row>
    <row r="64" spans="1:15" ht="14.25" x14ac:dyDescent="0.2">
      <c r="A64" s="846"/>
      <c r="B64" s="832"/>
      <c r="C64" s="836"/>
      <c r="D64" s="848"/>
      <c r="E64" s="830"/>
      <c r="F64" s="846"/>
      <c r="G64" s="832"/>
      <c r="H64" s="833"/>
      <c r="I64" s="836"/>
      <c r="J64" s="848"/>
      <c r="K64" s="830"/>
      <c r="L64" s="846"/>
      <c r="M64" s="832"/>
      <c r="N64" s="836"/>
      <c r="O64" s="848"/>
    </row>
    <row r="65" spans="1:15" ht="14.25" x14ac:dyDescent="0.2">
      <c r="A65" s="846"/>
      <c r="B65" s="832"/>
      <c r="C65" s="836"/>
      <c r="D65" s="848"/>
      <c r="E65" s="830"/>
      <c r="F65" s="846"/>
      <c r="G65" s="832"/>
      <c r="H65" s="833"/>
      <c r="I65" s="836"/>
      <c r="J65" s="848"/>
      <c r="K65" s="830"/>
      <c r="L65" s="846"/>
      <c r="M65" s="832"/>
      <c r="N65" s="836"/>
      <c r="O65" s="848"/>
    </row>
    <row r="66" spans="1:15" ht="14.25" x14ac:dyDescent="0.2">
      <c r="A66" s="846"/>
      <c r="B66" s="832"/>
      <c r="C66" s="836"/>
      <c r="D66" s="848"/>
      <c r="E66" s="830"/>
      <c r="F66" s="846"/>
      <c r="G66" s="832"/>
      <c r="H66" s="833"/>
      <c r="I66" s="836"/>
      <c r="J66" s="848"/>
      <c r="K66" s="830"/>
      <c r="L66" s="846"/>
      <c r="M66" s="832"/>
      <c r="N66" s="836"/>
      <c r="O66" s="848"/>
    </row>
    <row r="67" spans="1:15" ht="14.25" x14ac:dyDescent="0.2">
      <c r="A67" s="846"/>
      <c r="B67" s="832"/>
      <c r="C67" s="836"/>
      <c r="D67" s="848"/>
      <c r="E67" s="830"/>
      <c r="F67" s="846"/>
      <c r="G67" s="832"/>
      <c r="H67" s="833"/>
      <c r="I67" s="836"/>
      <c r="J67" s="848"/>
      <c r="K67" s="830"/>
      <c r="L67" s="846"/>
      <c r="M67" s="832"/>
      <c r="N67" s="836"/>
      <c r="O67" s="848"/>
    </row>
    <row r="68" spans="1:15" ht="14.25" x14ac:dyDescent="0.2">
      <c r="A68" s="846"/>
      <c r="B68" s="832"/>
      <c r="C68" s="836"/>
      <c r="D68" s="848"/>
      <c r="E68" s="830"/>
      <c r="F68" s="846"/>
      <c r="G68" s="832"/>
      <c r="H68" s="833"/>
      <c r="I68" s="836"/>
      <c r="J68" s="848"/>
      <c r="K68" s="830"/>
      <c r="L68" s="846"/>
      <c r="M68" s="832"/>
      <c r="N68" s="836"/>
      <c r="O68" s="848"/>
    </row>
    <row r="69" spans="1:15" ht="14.25" x14ac:dyDescent="0.2">
      <c r="A69" s="846"/>
      <c r="B69" s="832"/>
      <c r="C69" s="836"/>
      <c r="D69" s="848"/>
      <c r="E69" s="830"/>
      <c r="F69" s="846"/>
      <c r="G69" s="832"/>
      <c r="H69" s="833"/>
      <c r="I69" s="836"/>
      <c r="J69" s="848"/>
      <c r="K69" s="830"/>
      <c r="L69" s="846"/>
      <c r="M69" s="832"/>
      <c r="N69" s="836"/>
      <c r="O69" s="848"/>
    </row>
    <row r="70" spans="1:15" ht="14.25" x14ac:dyDescent="0.2">
      <c r="A70" s="846"/>
      <c r="B70" s="832"/>
      <c r="C70" s="836"/>
      <c r="D70" s="848"/>
      <c r="E70" s="830"/>
      <c r="F70" s="846"/>
      <c r="G70" s="832"/>
      <c r="H70" s="833"/>
      <c r="I70" s="836"/>
      <c r="J70" s="848"/>
      <c r="K70" s="830"/>
      <c r="L70" s="846"/>
      <c r="M70" s="832"/>
      <c r="N70" s="836"/>
      <c r="O70" s="848"/>
    </row>
    <row r="71" spans="1:15" ht="14.25" x14ac:dyDescent="0.2">
      <c r="A71" s="846"/>
      <c r="B71" s="832"/>
      <c r="C71" s="836"/>
      <c r="D71" s="848"/>
      <c r="E71" s="830"/>
      <c r="F71" s="846"/>
      <c r="G71" s="832"/>
      <c r="H71" s="833"/>
      <c r="I71" s="836"/>
      <c r="J71" s="848"/>
      <c r="K71" s="830"/>
      <c r="L71" s="846"/>
      <c r="M71" s="832"/>
      <c r="N71" s="836"/>
      <c r="O71" s="848"/>
    </row>
    <row r="72" spans="1:15" ht="14.25" x14ac:dyDescent="0.2">
      <c r="A72" s="846"/>
      <c r="B72" s="832"/>
      <c r="C72" s="836"/>
      <c r="D72" s="848"/>
      <c r="E72" s="830"/>
      <c r="F72" s="846"/>
      <c r="G72" s="832"/>
      <c r="H72" s="833"/>
      <c r="I72" s="836"/>
      <c r="J72" s="848"/>
      <c r="K72" s="830"/>
      <c r="L72" s="846"/>
      <c r="M72" s="832"/>
      <c r="N72" s="836"/>
      <c r="O72" s="848"/>
    </row>
    <row r="73" spans="1:15" ht="14.25" x14ac:dyDescent="0.2">
      <c r="A73" s="846"/>
      <c r="B73" s="832"/>
      <c r="C73" s="836"/>
      <c r="D73" s="848"/>
      <c r="E73" s="830"/>
      <c r="F73" s="846"/>
      <c r="G73" s="832"/>
      <c r="H73" s="833"/>
      <c r="I73" s="836"/>
      <c r="J73" s="848"/>
      <c r="K73" s="830"/>
      <c r="L73" s="846"/>
      <c r="M73" s="832"/>
      <c r="N73" s="836"/>
      <c r="O73" s="848"/>
    </row>
    <row r="74" spans="1:15" ht="14.25" x14ac:dyDescent="0.2">
      <c r="A74" s="846"/>
      <c r="B74" s="832"/>
      <c r="C74" s="836"/>
      <c r="D74" s="848"/>
      <c r="E74" s="830"/>
      <c r="F74" s="846"/>
      <c r="G74" s="832"/>
      <c r="H74" s="833"/>
      <c r="I74" s="836"/>
      <c r="J74" s="848"/>
      <c r="K74" s="830"/>
      <c r="L74" s="846"/>
      <c r="M74" s="832"/>
      <c r="N74" s="836"/>
      <c r="O74" s="848"/>
    </row>
    <row r="75" spans="1:15" ht="14.25" x14ac:dyDescent="0.2">
      <c r="A75" s="846"/>
      <c r="B75" s="832"/>
      <c r="C75" s="836"/>
      <c r="D75" s="848"/>
      <c r="E75" s="830"/>
      <c r="F75" s="846"/>
      <c r="G75" s="832"/>
      <c r="H75" s="833"/>
      <c r="I75" s="836"/>
      <c r="J75" s="848"/>
      <c r="K75" s="830"/>
      <c r="L75" s="846"/>
      <c r="M75" s="832"/>
      <c r="N75" s="836"/>
      <c r="O75" s="848"/>
    </row>
    <row r="76" spans="1:15" ht="14.25" x14ac:dyDescent="0.2">
      <c r="A76" s="846"/>
      <c r="B76" s="832"/>
      <c r="C76" s="836"/>
      <c r="D76" s="848"/>
      <c r="E76" s="830"/>
      <c r="F76" s="846"/>
      <c r="G76" s="832"/>
      <c r="H76" s="833"/>
      <c r="I76" s="836"/>
      <c r="J76" s="848"/>
      <c r="K76" s="830"/>
      <c r="L76" s="846"/>
      <c r="M76" s="832"/>
      <c r="N76" s="836"/>
      <c r="O76" s="848"/>
    </row>
    <row r="77" spans="1:15" ht="14.25" x14ac:dyDescent="0.2">
      <c r="A77" s="846"/>
      <c r="B77" s="832"/>
      <c r="C77" s="836"/>
      <c r="D77" s="848"/>
      <c r="E77" s="830"/>
      <c r="F77" s="846"/>
      <c r="G77" s="832"/>
      <c r="H77" s="833"/>
      <c r="I77" s="836"/>
      <c r="J77" s="848"/>
      <c r="K77" s="830"/>
      <c r="L77" s="846"/>
      <c r="M77" s="832"/>
      <c r="N77" s="836"/>
      <c r="O77" s="848"/>
    </row>
    <row r="78" spans="1:15" ht="14.25" x14ac:dyDescent="0.2">
      <c r="A78" s="846"/>
      <c r="B78" s="832"/>
      <c r="C78" s="836"/>
      <c r="D78" s="848"/>
      <c r="E78" s="830"/>
      <c r="F78" s="846"/>
      <c r="G78" s="832"/>
      <c r="H78" s="833"/>
      <c r="I78" s="836"/>
      <c r="J78" s="848"/>
      <c r="K78" s="830"/>
      <c r="L78" s="846"/>
      <c r="M78" s="832"/>
      <c r="N78" s="836"/>
      <c r="O78" s="848"/>
    </row>
    <row r="79" spans="1:15" ht="14.25" x14ac:dyDescent="0.2">
      <c r="A79" s="846"/>
      <c r="B79" s="832"/>
      <c r="C79" s="836"/>
      <c r="D79" s="848"/>
      <c r="E79" s="830"/>
      <c r="F79" s="846"/>
      <c r="G79" s="832"/>
      <c r="H79" s="833"/>
      <c r="I79" s="836"/>
      <c r="J79" s="848"/>
      <c r="K79" s="830"/>
      <c r="L79" s="846"/>
      <c r="M79" s="832"/>
      <c r="N79" s="836"/>
      <c r="O79" s="848"/>
    </row>
    <row r="80" spans="1:15" ht="15" thickBot="1" x14ac:dyDescent="0.25">
      <c r="A80" s="849"/>
      <c r="B80" s="834"/>
      <c r="C80" s="837"/>
      <c r="D80" s="850"/>
      <c r="E80" s="830"/>
      <c r="F80" s="849"/>
      <c r="G80" s="834"/>
      <c r="H80" s="835"/>
      <c r="I80" s="837"/>
      <c r="J80" s="850"/>
      <c r="K80" s="830"/>
      <c r="L80" s="849"/>
      <c r="M80" s="834"/>
      <c r="N80" s="837"/>
      <c r="O80" s="850"/>
    </row>
  </sheetData>
  <sortState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83203125" customWidth="1"/>
  </cols>
  <sheetData>
    <row r="1" spans="1:4" ht="37.5" x14ac:dyDescent="0.2">
      <c r="A1" s="1473" t="s">
        <v>260</v>
      </c>
      <c r="B1" s="1474"/>
      <c r="C1" s="1474"/>
      <c r="D1" s="1474"/>
    </row>
    <row r="2" spans="1:4" ht="21" thickBot="1" x14ac:dyDescent="0.25">
      <c r="A2" s="1475" t="s">
        <v>248</v>
      </c>
      <c r="B2" s="1476"/>
      <c r="C2" s="1476"/>
      <c r="D2" s="1476"/>
    </row>
    <row r="3" spans="1:4" ht="19.5" x14ac:dyDescent="0.4">
      <c r="A3" s="1477" t="s">
        <v>249</v>
      </c>
      <c r="B3" s="852"/>
      <c r="C3" s="853">
        <v>41669</v>
      </c>
      <c r="D3" s="853">
        <v>41669</v>
      </c>
    </row>
    <row r="4" spans="1:4" ht="19.5" x14ac:dyDescent="0.4">
      <c r="A4" s="1478"/>
      <c r="B4" s="854" t="s">
        <v>102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Q106"/>
  <sheetViews>
    <sheetView tabSelected="1" topLeftCell="A70" zoomScale="125" zoomScaleNormal="125" zoomScalePageLayoutView="125" workbookViewId="0">
      <selection activeCell="C78" sqref="C78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8.1640625" customWidth="1"/>
    <col min="4" max="4" width="9.33203125" bestFit="1" customWidth="1"/>
    <col min="5" max="5" width="5" bestFit="1" customWidth="1"/>
    <col min="6" max="6" width="25.6640625" customWidth="1"/>
    <col min="7" max="7" width="3.83203125" customWidth="1"/>
    <col min="8" max="8" width="0.33203125" customWidth="1"/>
    <col min="9" max="9" width="4" hidden="1" customWidth="1"/>
    <col min="10" max="10" width="17" bestFit="1" customWidth="1"/>
    <col min="11" max="11" width="7.1640625" bestFit="1" customWidth="1"/>
    <col min="12" max="12" width="5.83203125" customWidth="1"/>
    <col min="13" max="13" width="7.33203125" bestFit="1" customWidth="1"/>
    <col min="14" max="14" width="3.83203125" customWidth="1"/>
    <col min="15" max="15" width="8.83203125" customWidth="1"/>
    <col min="16" max="16" width="5.83203125" customWidth="1"/>
    <col min="17" max="17" width="7.1640625" bestFit="1" customWidth="1"/>
    <col min="18" max="19" width="6.83203125" customWidth="1"/>
    <col min="20" max="20" width="5.83203125" customWidth="1"/>
    <col min="21" max="21" width="8.33203125" bestFit="1" customWidth="1"/>
    <col min="22" max="22" width="7.1640625" customWidth="1"/>
    <col min="23" max="23" width="5.83203125" customWidth="1"/>
    <col min="24" max="24" width="6.83203125" customWidth="1"/>
    <col min="25" max="26" width="5.83203125" customWidth="1"/>
    <col min="27" max="28" width="7.1640625" customWidth="1"/>
    <col min="29" max="29" width="6.1640625" customWidth="1"/>
    <col min="30" max="30" width="6.83203125" customWidth="1"/>
    <col min="32" max="32" width="8.1640625" customWidth="1"/>
    <col min="33" max="33" width="6.1640625" customWidth="1"/>
    <col min="34" max="40" width="12.83203125" customWidth="1"/>
  </cols>
  <sheetData>
    <row r="1" spans="1:43" ht="24" customHeight="1" x14ac:dyDescent="0.2">
      <c r="A1" s="1380" t="s">
        <v>260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381"/>
      <c r="Q1" s="1381"/>
      <c r="R1" s="1381"/>
      <c r="S1" s="1381"/>
      <c r="T1" s="1381"/>
      <c r="U1" s="1381"/>
      <c r="V1" s="1381"/>
      <c r="W1" s="1381"/>
      <c r="X1" s="748"/>
      <c r="Y1" s="748"/>
      <c r="Z1" s="748"/>
      <c r="AA1" s="748"/>
      <c r="AB1" s="748"/>
      <c r="AC1" s="117"/>
      <c r="AD1" s="117"/>
      <c r="AE1" s="1" t="s">
        <v>1</v>
      </c>
      <c r="AF1" s="1"/>
      <c r="AG1" s="1"/>
      <c r="AH1" s="22" t="s">
        <v>60</v>
      </c>
      <c r="AJ1" s="23" t="s">
        <v>61</v>
      </c>
      <c r="AL1" s="23" t="s">
        <v>62</v>
      </c>
      <c r="AN1" s="1"/>
      <c r="AO1" s="2"/>
    </row>
    <row r="2" spans="1:43" ht="20.100000000000001" customHeight="1" thickBot="1" x14ac:dyDescent="0.25">
      <c r="A2" s="1316" t="str">
        <f>Dates!A2</f>
        <v>56-Days Weight Report ~ October 17, 2018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317"/>
      <c r="R2" s="1317"/>
      <c r="S2" s="1317"/>
      <c r="T2" s="1317"/>
      <c r="U2" s="1317"/>
      <c r="V2" s="1317"/>
      <c r="W2" s="1317"/>
      <c r="X2" s="1015"/>
      <c r="Y2" s="1015"/>
      <c r="Z2" s="1015"/>
      <c r="AA2" s="1015"/>
      <c r="AB2" s="1015"/>
      <c r="AC2" s="1015"/>
      <c r="AD2" s="1015"/>
      <c r="AE2" s="3" t="s">
        <v>1</v>
      </c>
      <c r="AF2" s="3"/>
      <c r="AG2" s="3"/>
      <c r="AH2" s="37">
        <v>43361</v>
      </c>
      <c r="AJ2" s="38">
        <f>Dates!A8</f>
        <v>57</v>
      </c>
      <c r="AL2" s="38">
        <f>Dates!A9</f>
        <v>29</v>
      </c>
      <c r="AN2" s="1"/>
      <c r="AO2" s="1"/>
    </row>
    <row r="3" spans="1:43" ht="11.1" customHeight="1" x14ac:dyDescent="0.2">
      <c r="A3" s="765" t="s">
        <v>2</v>
      </c>
      <c r="B3" s="5" t="s">
        <v>3</v>
      </c>
      <c r="C3" s="762"/>
      <c r="D3" s="6"/>
      <c r="E3" s="763" t="s">
        <v>1</v>
      </c>
      <c r="F3" s="1387" t="s">
        <v>258</v>
      </c>
      <c r="G3" s="1388"/>
      <c r="H3" s="1388"/>
      <c r="I3" s="1389"/>
      <c r="J3" s="1385" t="s">
        <v>5</v>
      </c>
      <c r="K3" s="1386"/>
      <c r="L3" s="1382" t="s">
        <v>6</v>
      </c>
      <c r="M3" s="1383"/>
      <c r="N3" s="1384"/>
      <c r="O3" s="182" t="s">
        <v>7</v>
      </c>
      <c r="P3" s="1390" t="str">
        <f>A2</f>
        <v>56-Days Weight Report ~ October 17, 2018</v>
      </c>
      <c r="Q3" s="1383"/>
      <c r="R3" s="1383"/>
      <c r="S3" s="1383"/>
      <c r="T3" s="1383"/>
      <c r="U3" s="1383"/>
      <c r="V3" s="1383"/>
      <c r="W3" s="1384"/>
      <c r="X3" s="1391" t="s">
        <v>259</v>
      </c>
      <c r="Y3" s="1392"/>
      <c r="Z3" s="1392"/>
      <c r="AA3" s="1392"/>
      <c r="AB3" s="1393"/>
      <c r="AC3" s="118" t="s">
        <v>79</v>
      </c>
      <c r="AD3" s="121" t="s">
        <v>45</v>
      </c>
      <c r="AE3" s="1377" t="s">
        <v>57</v>
      </c>
      <c r="AF3" s="1378"/>
      <c r="AG3" s="1379"/>
      <c r="AH3" s="26" t="s">
        <v>9</v>
      </c>
      <c r="AI3" s="26" t="s">
        <v>9</v>
      </c>
      <c r="AJ3" s="26" t="s">
        <v>10</v>
      </c>
      <c r="AK3" s="26" t="s">
        <v>71</v>
      </c>
      <c r="AL3" s="26" t="s">
        <v>72</v>
      </c>
      <c r="AM3" s="26" t="s">
        <v>11</v>
      </c>
      <c r="AN3" s="28" t="s">
        <v>12</v>
      </c>
      <c r="AO3" s="208" t="s">
        <v>124</v>
      </c>
      <c r="AP3" s="207" t="s">
        <v>122</v>
      </c>
      <c r="AQ3" s="207" t="s">
        <v>123</v>
      </c>
    </row>
    <row r="4" spans="1:43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764" t="s">
        <v>16</v>
      </c>
      <c r="F4" s="1371"/>
      <c r="G4" s="1372"/>
      <c r="H4" s="1372"/>
      <c r="I4" s="1373"/>
      <c r="J4" s="759" t="s">
        <v>20</v>
      </c>
      <c r="K4" s="760" t="s">
        <v>21</v>
      </c>
      <c r="L4" s="180" t="s">
        <v>21</v>
      </c>
      <c r="M4" s="180" t="s">
        <v>22</v>
      </c>
      <c r="N4" s="181" t="s">
        <v>23</v>
      </c>
      <c r="O4" s="758" t="s">
        <v>21</v>
      </c>
      <c r="P4" s="180" t="s">
        <v>24</v>
      </c>
      <c r="Q4" s="180" t="s">
        <v>25</v>
      </c>
      <c r="R4" s="180" t="s">
        <v>21</v>
      </c>
      <c r="S4" s="183" t="str">
        <f>+Dates!A4</f>
        <v>28 Days</v>
      </c>
      <c r="T4" s="180" t="s">
        <v>26</v>
      </c>
      <c r="U4" s="180" t="s">
        <v>22</v>
      </c>
      <c r="V4" s="180" t="s">
        <v>27</v>
      </c>
      <c r="W4" s="767" t="s">
        <v>22</v>
      </c>
      <c r="X4" s="769" t="s">
        <v>64</v>
      </c>
      <c r="Y4" s="770" t="s">
        <v>25</v>
      </c>
      <c r="Z4" s="770" t="s">
        <v>28</v>
      </c>
      <c r="AA4" s="770" t="s">
        <v>21</v>
      </c>
      <c r="AB4" s="771" t="s">
        <v>22</v>
      </c>
      <c r="AC4" s="768" t="s">
        <v>102</v>
      </c>
      <c r="AD4" s="122" t="s">
        <v>103</v>
      </c>
      <c r="AE4" s="24" t="s">
        <v>20</v>
      </c>
      <c r="AF4" s="24" t="s">
        <v>24</v>
      </c>
      <c r="AG4" s="25" t="s">
        <v>10</v>
      </c>
      <c r="AH4" s="27" t="s">
        <v>31</v>
      </c>
      <c r="AI4" s="27" t="s">
        <v>24</v>
      </c>
      <c r="AJ4" s="27" t="s">
        <v>32</v>
      </c>
      <c r="AK4" s="27" t="s">
        <v>33</v>
      </c>
      <c r="AL4" s="27" t="s">
        <v>33</v>
      </c>
      <c r="AM4" s="27" t="s">
        <v>33</v>
      </c>
      <c r="AN4" s="29" t="s">
        <v>29</v>
      </c>
      <c r="AO4" s="1"/>
    </row>
    <row r="5" spans="1:43" ht="15.75" customHeight="1" thickBot="1" x14ac:dyDescent="0.25">
      <c r="A5" s="1369" t="s">
        <v>43</v>
      </c>
      <c r="B5" s="1370"/>
      <c r="C5" s="1370"/>
      <c r="D5" s="1370"/>
      <c r="E5" s="1370"/>
      <c r="F5" s="1370"/>
      <c r="G5" s="1370"/>
      <c r="H5" s="1370"/>
      <c r="I5" s="1370"/>
      <c r="J5" s="1370"/>
      <c r="K5" s="1370"/>
      <c r="L5" s="1370"/>
      <c r="M5" s="1370"/>
      <c r="N5" s="1370"/>
      <c r="O5" s="1370"/>
      <c r="P5" s="1370"/>
      <c r="Q5" s="1370"/>
      <c r="R5" s="1370"/>
      <c r="S5" s="1370"/>
      <c r="T5" s="1370"/>
      <c r="U5" s="1370"/>
      <c r="V5" s="1370"/>
      <c r="W5" s="1370"/>
      <c r="X5" s="747"/>
      <c r="Y5" s="747"/>
      <c r="Z5" s="747"/>
      <c r="AA5" s="747"/>
      <c r="AB5" s="747"/>
      <c r="AC5" s="735"/>
      <c r="AD5" s="736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1"/>
    </row>
    <row r="6" spans="1:43" ht="15.75" customHeight="1" thickBot="1" x14ac:dyDescent="0.3">
      <c r="A6" s="891">
        <v>1</v>
      </c>
      <c r="B6" s="892" t="s">
        <v>129</v>
      </c>
      <c r="C6" s="893" t="s">
        <v>265</v>
      </c>
      <c r="D6" s="894" t="s">
        <v>266</v>
      </c>
      <c r="E6" s="908" t="s">
        <v>36</v>
      </c>
      <c r="F6" s="1374"/>
      <c r="G6" s="1375"/>
      <c r="H6" s="1375"/>
      <c r="I6" s="1376"/>
      <c r="J6" s="895">
        <v>42987</v>
      </c>
      <c r="K6" s="896">
        <v>80</v>
      </c>
      <c r="L6" s="897">
        <v>668</v>
      </c>
      <c r="M6" s="930"/>
      <c r="N6" s="928"/>
      <c r="O6" s="1243">
        <v>1082</v>
      </c>
      <c r="P6" s="1244">
        <f>AH2-J6</f>
        <v>374</v>
      </c>
      <c r="Q6" s="1005">
        <v>52</v>
      </c>
      <c r="R6" s="946">
        <v>1320</v>
      </c>
      <c r="S6" s="939">
        <f t="shared" ref="S6:S18" si="0">IF(AJ$2=0," ",IF(AL$2=0," ",IF(R6=0," ",IF(AN6=0," ",(R6-AN6)/(AL$2)))))</f>
        <v>4.8275862068965516</v>
      </c>
      <c r="T6" s="939">
        <f t="shared" ref="T6:T34" si="1">IF(AJ$2=0," ",IF(R6=0," ",IF(O6=0," ",(R6-O6)/AJ$2)))</f>
        <v>4.1754385964912277</v>
      </c>
      <c r="U6" s="1036">
        <f t="shared" ref="U6:U34" si="2">IF(T6=0," ",(T6/T$35)*100)</f>
        <v>101.58963791580805</v>
      </c>
      <c r="V6" s="939">
        <f t="shared" ref="V6:V34" si="3">IF(AJ$2=0,O6/P6,R6/P6)</f>
        <v>3.5294117647058822</v>
      </c>
      <c r="W6" s="947">
        <f t="shared" ref="W6:W34" si="4">IF(V6=0," ",(V6/V$35)*100)</f>
        <v>104.97299511403773</v>
      </c>
      <c r="X6" s="1042"/>
      <c r="Y6" s="944"/>
      <c r="Z6" s="944"/>
      <c r="AA6" s="948"/>
      <c r="AB6" s="948"/>
      <c r="AC6" s="782"/>
      <c r="AD6" s="725"/>
      <c r="AE6" s="119"/>
      <c r="AF6" s="39">
        <f t="shared" ref="AF6:AF18" si="5">+AE6-J6</f>
        <v>-42987</v>
      </c>
      <c r="AG6" s="72"/>
      <c r="AH6" s="209"/>
      <c r="AI6" s="40" t="str">
        <f t="shared" ref="AI6:AI34" si="6">IF(AH6="ET","ET",IF(AH6=0," ",J6-AH6))</f>
        <v xml:space="preserve"> </v>
      </c>
      <c r="AJ6" s="17"/>
      <c r="AK6" s="48">
        <f t="shared" ref="AK6:AK12" si="7">IF(AI6="ET",0,IF(AI6=0,0,IF(AI6&lt;761,1.32,IF(AI6&lt;1126,0.74,IF(AI6&lt;1491,0.39,IF(AI6&lt;1856,0.14,IF(AI6&lt;2951,0,IF(AI6&lt;3316,0.08,0))))))))</f>
        <v>0</v>
      </c>
      <c r="AL6" s="48">
        <f t="shared" ref="AL6:AL12" si="8">IF(AI6="ET",0,IF(AI6=0,0,IF(AI6&lt;3316,0,IF(AI6&lt;3681,0.16,IF(AI6&lt;4046,0.26,IF(AI6&lt;4411,0.38,0.52))))))</f>
        <v>0.52</v>
      </c>
      <c r="AM6" s="40">
        <f t="shared" ref="AM6:AM12" si="9">IF(AI6="ET",0,IF(AI6=0," ",IF(AI6&lt;769,79,IF(AI6&lt;982,64,IF(AI6&lt;1164,42,IF(AI6&lt;1347,31,IF(AI6&lt;1712,18,IF(AI6&gt;3536,10,0))))))))</f>
        <v>10</v>
      </c>
      <c r="AN6" s="946">
        <v>1180</v>
      </c>
      <c r="AO6" s="1"/>
    </row>
    <row r="7" spans="1:43" ht="15" customHeight="1" thickBot="1" x14ac:dyDescent="0.3">
      <c r="A7" s="891">
        <v>4</v>
      </c>
      <c r="B7" s="892" t="s">
        <v>129</v>
      </c>
      <c r="C7" s="900" t="s">
        <v>276</v>
      </c>
      <c r="D7" s="907" t="s">
        <v>277</v>
      </c>
      <c r="E7" s="908" t="s">
        <v>36</v>
      </c>
      <c r="F7" s="1366"/>
      <c r="G7" s="1364"/>
      <c r="H7" s="1364"/>
      <c r="I7" s="1365"/>
      <c r="J7" s="902">
        <v>42986</v>
      </c>
      <c r="K7" s="899">
        <v>85</v>
      </c>
      <c r="L7" s="903">
        <v>792</v>
      </c>
      <c r="M7" s="898">
        <v>104</v>
      </c>
      <c r="N7" s="899">
        <v>14</v>
      </c>
      <c r="O7" s="1246">
        <v>1052</v>
      </c>
      <c r="P7" s="1245">
        <f>AH2-J7</f>
        <v>375</v>
      </c>
      <c r="Q7" s="1017">
        <v>50.5</v>
      </c>
      <c r="R7" s="946">
        <v>1380</v>
      </c>
      <c r="S7" s="939">
        <f t="shared" si="0"/>
        <v>6.2068965517241379</v>
      </c>
      <c r="T7" s="1035">
        <f t="shared" si="1"/>
        <v>5.7543859649122808</v>
      </c>
      <c r="U7" s="1036">
        <f t="shared" si="2"/>
        <v>140.00588754783635</v>
      </c>
      <c r="V7" s="1035">
        <f t="shared" si="3"/>
        <v>3.68</v>
      </c>
      <c r="W7" s="943">
        <f t="shared" si="4"/>
        <v>109.45184290557002</v>
      </c>
      <c r="X7" s="1035"/>
      <c r="Y7" s="944"/>
      <c r="Z7" s="944"/>
      <c r="AA7" s="948"/>
      <c r="AB7" s="948"/>
      <c r="AC7" s="291"/>
      <c r="AD7" s="737"/>
      <c r="AE7" s="119"/>
      <c r="AF7" s="39">
        <f t="shared" si="5"/>
        <v>-42986</v>
      </c>
      <c r="AG7" s="72"/>
      <c r="AH7" s="211"/>
      <c r="AI7" s="40" t="str">
        <f t="shared" si="6"/>
        <v xml:space="preserve"> </v>
      </c>
      <c r="AJ7" s="17"/>
      <c r="AK7" s="48">
        <f t="shared" si="7"/>
        <v>0</v>
      </c>
      <c r="AL7" s="48">
        <f t="shared" si="8"/>
        <v>0.52</v>
      </c>
      <c r="AM7" s="40">
        <f t="shared" si="9"/>
        <v>10</v>
      </c>
      <c r="AN7" s="946">
        <v>1200</v>
      </c>
      <c r="AO7" s="1"/>
    </row>
    <row r="8" spans="1:43" ht="15" customHeight="1" thickBot="1" x14ac:dyDescent="0.3">
      <c r="A8" s="891">
        <v>5</v>
      </c>
      <c r="B8" s="892" t="s">
        <v>129</v>
      </c>
      <c r="C8" s="933" t="s">
        <v>276</v>
      </c>
      <c r="D8" s="907" t="s">
        <v>278</v>
      </c>
      <c r="E8" s="908" t="s">
        <v>36</v>
      </c>
      <c r="F8" s="1366"/>
      <c r="G8" s="1367"/>
      <c r="H8" s="1367"/>
      <c r="I8" s="1368"/>
      <c r="J8" s="902">
        <v>42992</v>
      </c>
      <c r="K8" s="899">
        <v>87</v>
      </c>
      <c r="L8" s="903">
        <v>817</v>
      </c>
      <c r="M8" s="898">
        <v>107</v>
      </c>
      <c r="N8" s="899">
        <v>14</v>
      </c>
      <c r="O8" s="1246">
        <v>1052</v>
      </c>
      <c r="P8" s="1244">
        <f>AH2-J8</f>
        <v>369</v>
      </c>
      <c r="Q8" s="1017">
        <v>49</v>
      </c>
      <c r="R8" s="1301">
        <v>1255</v>
      </c>
      <c r="S8" s="939">
        <f t="shared" si="0"/>
        <v>2.4137931034482758</v>
      </c>
      <c r="T8" s="1035">
        <f t="shared" si="1"/>
        <v>3.5614035087719298</v>
      </c>
      <c r="U8" s="1036">
        <f t="shared" si="2"/>
        <v>86.649985281130412</v>
      </c>
      <c r="V8" s="1035">
        <f>IF(AJ$2=0,O8/P8,R8/P8)</f>
        <v>3.4010840108401084</v>
      </c>
      <c r="W8" s="943">
        <f t="shared" si="4"/>
        <v>101.15622632149932</v>
      </c>
      <c r="X8" s="1035"/>
      <c r="Y8" s="944"/>
      <c r="Z8" s="944"/>
      <c r="AA8" s="948"/>
      <c r="AB8" s="948"/>
      <c r="AC8" s="291"/>
      <c r="AD8" s="737"/>
      <c r="AE8" s="119"/>
      <c r="AF8" s="39">
        <f t="shared" si="5"/>
        <v>-42992</v>
      </c>
      <c r="AG8" s="72"/>
      <c r="AH8" s="212"/>
      <c r="AI8" s="40" t="str">
        <f t="shared" si="6"/>
        <v xml:space="preserve"> </v>
      </c>
      <c r="AJ8" s="17"/>
      <c r="AK8" s="48">
        <f t="shared" si="7"/>
        <v>0</v>
      </c>
      <c r="AL8" s="48">
        <f t="shared" si="8"/>
        <v>0.52</v>
      </c>
      <c r="AM8" s="40">
        <f t="shared" si="9"/>
        <v>10</v>
      </c>
      <c r="AN8" s="1301">
        <v>1185</v>
      </c>
      <c r="AO8" s="1"/>
    </row>
    <row r="9" spans="1:43" ht="15" customHeight="1" thickBot="1" x14ac:dyDescent="0.3">
      <c r="A9" s="891">
        <v>6</v>
      </c>
      <c r="B9" s="892" t="s">
        <v>129</v>
      </c>
      <c r="C9" s="900" t="s">
        <v>279</v>
      </c>
      <c r="D9" s="907" t="s">
        <v>280</v>
      </c>
      <c r="E9" s="908" t="s">
        <v>36</v>
      </c>
      <c r="F9" s="1328"/>
      <c r="G9" s="1364"/>
      <c r="H9" s="1364"/>
      <c r="I9" s="1365"/>
      <c r="J9" s="902">
        <v>42998</v>
      </c>
      <c r="K9" s="899">
        <v>80</v>
      </c>
      <c r="L9" s="903">
        <v>814</v>
      </c>
      <c r="M9" s="898">
        <v>103</v>
      </c>
      <c r="N9" s="899">
        <v>7</v>
      </c>
      <c r="O9" s="1246">
        <v>964</v>
      </c>
      <c r="P9" s="1245">
        <f>AH2-J9</f>
        <v>363</v>
      </c>
      <c r="Q9" s="1017">
        <v>50</v>
      </c>
      <c r="R9" s="946">
        <v>1220</v>
      </c>
      <c r="S9" s="939">
        <f t="shared" si="0"/>
        <v>4.1379310344827589</v>
      </c>
      <c r="T9" s="1035">
        <f t="shared" si="1"/>
        <v>4.4912280701754383</v>
      </c>
      <c r="U9" s="1036">
        <f t="shared" si="2"/>
        <v>109.27288784221372</v>
      </c>
      <c r="V9" s="1035">
        <f t="shared" si="3"/>
        <v>3.3608815426997247</v>
      </c>
      <c r="W9" s="943">
        <f t="shared" si="4"/>
        <v>99.96051049885871</v>
      </c>
      <c r="X9" s="1035"/>
      <c r="Y9" s="944"/>
      <c r="Z9" s="944"/>
      <c r="AA9" s="948"/>
      <c r="AB9" s="948"/>
      <c r="AC9" s="291"/>
      <c r="AD9" s="737"/>
      <c r="AE9" s="119"/>
      <c r="AF9" s="39">
        <f t="shared" si="5"/>
        <v>-42998</v>
      </c>
      <c r="AG9" s="72"/>
      <c r="AH9" s="211"/>
      <c r="AI9" s="40" t="str">
        <f t="shared" si="6"/>
        <v xml:space="preserve"> </v>
      </c>
      <c r="AJ9" s="17"/>
      <c r="AK9" s="48">
        <f t="shared" si="7"/>
        <v>0</v>
      </c>
      <c r="AL9" s="48">
        <f t="shared" si="8"/>
        <v>0.52</v>
      </c>
      <c r="AM9" s="40">
        <f t="shared" si="9"/>
        <v>10</v>
      </c>
      <c r="AN9" s="946">
        <v>1100</v>
      </c>
    </row>
    <row r="10" spans="1:43" ht="15" customHeight="1" thickBot="1" x14ac:dyDescent="0.3">
      <c r="A10" s="891">
        <v>7</v>
      </c>
      <c r="B10" s="892" t="s">
        <v>129</v>
      </c>
      <c r="C10" s="900" t="s">
        <v>274</v>
      </c>
      <c r="D10" s="907" t="s">
        <v>281</v>
      </c>
      <c r="E10" s="908" t="s">
        <v>36</v>
      </c>
      <c r="F10" s="1328"/>
      <c r="G10" s="1364"/>
      <c r="H10" s="1364"/>
      <c r="I10" s="1365"/>
      <c r="J10" s="902">
        <v>42999</v>
      </c>
      <c r="K10" s="899">
        <v>85</v>
      </c>
      <c r="L10" s="903">
        <v>864</v>
      </c>
      <c r="M10" s="898">
        <v>110</v>
      </c>
      <c r="N10" s="899">
        <v>7</v>
      </c>
      <c r="O10" s="1246">
        <v>1047</v>
      </c>
      <c r="P10" s="1244">
        <f>AH2-J10</f>
        <v>362</v>
      </c>
      <c r="Q10" s="1017">
        <v>51</v>
      </c>
      <c r="R10" s="946">
        <v>1340</v>
      </c>
      <c r="S10" s="939">
        <f t="shared" si="0"/>
        <v>5.5172413793103452</v>
      </c>
      <c r="T10" s="1035">
        <f t="shared" si="1"/>
        <v>5.1403508771929829</v>
      </c>
      <c r="U10" s="1036">
        <f t="shared" si="2"/>
        <v>125.0662349131587</v>
      </c>
      <c r="V10" s="1035">
        <f t="shared" si="3"/>
        <v>3.701657458563536</v>
      </c>
      <c r="W10" s="943">
        <f t="shared" si="4"/>
        <v>110.09598658829556</v>
      </c>
      <c r="X10" s="1035"/>
      <c r="Y10" s="944"/>
      <c r="Z10" s="944"/>
      <c r="AA10" s="948"/>
      <c r="AB10" s="948"/>
      <c r="AC10" s="291"/>
      <c r="AD10" s="737"/>
      <c r="AE10" s="119"/>
      <c r="AF10" s="39">
        <f t="shared" si="5"/>
        <v>-42999</v>
      </c>
      <c r="AG10" s="72"/>
      <c r="AH10" s="212"/>
      <c r="AI10" s="40" t="str">
        <f t="shared" si="6"/>
        <v xml:space="preserve"> </v>
      </c>
      <c r="AJ10" s="17"/>
      <c r="AK10" s="48">
        <f t="shared" si="7"/>
        <v>0</v>
      </c>
      <c r="AL10" s="48">
        <f t="shared" si="8"/>
        <v>0.52</v>
      </c>
      <c r="AM10" s="40">
        <f t="shared" si="9"/>
        <v>10</v>
      </c>
      <c r="AN10" s="946">
        <v>1180</v>
      </c>
    </row>
    <row r="11" spans="1:43" ht="15" customHeight="1" thickBot="1" x14ac:dyDescent="0.3">
      <c r="A11" s="891">
        <v>8</v>
      </c>
      <c r="B11" s="892" t="s">
        <v>129</v>
      </c>
      <c r="C11" s="900" t="s">
        <v>276</v>
      </c>
      <c r="D11" s="907" t="s">
        <v>282</v>
      </c>
      <c r="E11" s="908" t="s">
        <v>36</v>
      </c>
      <c r="F11" s="1328"/>
      <c r="G11" s="1364"/>
      <c r="H11" s="1364"/>
      <c r="I11" s="1365"/>
      <c r="J11" s="902">
        <v>43006</v>
      </c>
      <c r="K11" s="899">
        <v>82</v>
      </c>
      <c r="L11" s="903">
        <v>778</v>
      </c>
      <c r="M11" s="898">
        <v>102</v>
      </c>
      <c r="N11" s="899">
        <v>14</v>
      </c>
      <c r="O11" s="1246">
        <v>941</v>
      </c>
      <c r="P11" s="1245">
        <f>AH2-J11</f>
        <v>355</v>
      </c>
      <c r="Q11" s="1017">
        <v>49.5</v>
      </c>
      <c r="R11" s="946">
        <v>1220</v>
      </c>
      <c r="S11" s="939">
        <f t="shared" si="0"/>
        <v>5.5172413793103452</v>
      </c>
      <c r="T11" s="1035">
        <f t="shared" si="1"/>
        <v>4.8947368421052628</v>
      </c>
      <c r="U11" s="1036">
        <f t="shared" si="2"/>
        <v>119.0903738592876</v>
      </c>
      <c r="V11" s="1035">
        <f t="shared" si="3"/>
        <v>3.436619718309859</v>
      </c>
      <c r="W11" s="943">
        <f t="shared" si="4"/>
        <v>102.21314172136819</v>
      </c>
      <c r="X11" s="1035"/>
      <c r="Y11" s="944"/>
      <c r="Z11" s="944"/>
      <c r="AA11" s="948"/>
      <c r="AB11" s="948"/>
      <c r="AC11" s="291"/>
      <c r="AD11" s="737"/>
      <c r="AE11" s="119"/>
      <c r="AF11" s="39">
        <f t="shared" si="5"/>
        <v>-43006</v>
      </c>
      <c r="AG11" s="72"/>
      <c r="AH11" s="211"/>
      <c r="AI11" s="40" t="str">
        <f t="shared" si="6"/>
        <v xml:space="preserve"> </v>
      </c>
      <c r="AJ11" s="17"/>
      <c r="AK11" s="48">
        <f t="shared" si="7"/>
        <v>0</v>
      </c>
      <c r="AL11" s="48">
        <f t="shared" si="8"/>
        <v>0.52</v>
      </c>
      <c r="AM11" s="40">
        <f t="shared" si="9"/>
        <v>10</v>
      </c>
      <c r="AN11" s="946">
        <v>1060</v>
      </c>
    </row>
    <row r="12" spans="1:43" ht="15.75" customHeight="1" thickBot="1" x14ac:dyDescent="0.3">
      <c r="A12" s="891">
        <v>9</v>
      </c>
      <c r="B12" s="892" t="s">
        <v>356</v>
      </c>
      <c r="C12" s="900" t="s">
        <v>267</v>
      </c>
      <c r="D12" s="901">
        <v>7202</v>
      </c>
      <c r="E12" s="908" t="s">
        <v>36</v>
      </c>
      <c r="F12" s="1479"/>
      <c r="G12" s="1480"/>
      <c r="H12" s="1480"/>
      <c r="I12" s="1481"/>
      <c r="J12" s="902">
        <v>42985</v>
      </c>
      <c r="K12" s="899">
        <v>78</v>
      </c>
      <c r="L12" s="937">
        <v>658</v>
      </c>
      <c r="M12" s="930">
        <v>109</v>
      </c>
      <c r="N12" s="928">
        <v>39</v>
      </c>
      <c r="O12" s="1246">
        <v>980</v>
      </c>
      <c r="P12" s="1244">
        <f>AH2-J12</f>
        <v>376</v>
      </c>
      <c r="Q12" s="1017">
        <v>50</v>
      </c>
      <c r="R12" s="946">
        <v>1205</v>
      </c>
      <c r="S12" s="939">
        <f t="shared" si="0"/>
        <v>4.3103448275862073</v>
      </c>
      <c r="T12" s="1035">
        <f t="shared" si="1"/>
        <v>3.9473684210526314</v>
      </c>
      <c r="U12" s="1036">
        <f t="shared" si="2"/>
        <v>96.040624080070643</v>
      </c>
      <c r="V12" s="1035">
        <f t="shared" si="3"/>
        <v>3.2047872340425534</v>
      </c>
      <c r="W12" s="943">
        <f t="shared" si="4"/>
        <v>95.317899153859173</v>
      </c>
      <c r="X12" s="1035"/>
      <c r="Y12" s="944"/>
      <c r="Z12" s="944"/>
      <c r="AA12" s="948"/>
      <c r="AB12" s="948"/>
      <c r="AC12" s="291"/>
      <c r="AD12" s="737"/>
      <c r="AE12" s="119"/>
      <c r="AF12" s="39">
        <f t="shared" si="5"/>
        <v>-42985</v>
      </c>
      <c r="AG12" s="72"/>
      <c r="AH12" s="211"/>
      <c r="AI12" s="40" t="str">
        <f t="shared" si="6"/>
        <v xml:space="preserve"> </v>
      </c>
      <c r="AJ12" s="17"/>
      <c r="AK12" s="48">
        <f t="shared" si="7"/>
        <v>0</v>
      </c>
      <c r="AL12" s="48">
        <f t="shared" si="8"/>
        <v>0.52</v>
      </c>
      <c r="AM12" s="40">
        <f t="shared" si="9"/>
        <v>10</v>
      </c>
      <c r="AN12" s="946">
        <v>1080</v>
      </c>
    </row>
    <row r="13" spans="1:43" ht="15.75" customHeight="1" thickBot="1" x14ac:dyDescent="0.3">
      <c r="A13" s="891">
        <v>11</v>
      </c>
      <c r="B13" s="892" t="s">
        <v>356</v>
      </c>
      <c r="C13" s="900" t="s">
        <v>267</v>
      </c>
      <c r="D13" s="901">
        <v>7463</v>
      </c>
      <c r="E13" s="908" t="s">
        <v>36</v>
      </c>
      <c r="F13" s="1328"/>
      <c r="G13" s="1364"/>
      <c r="H13" s="1364"/>
      <c r="I13" s="1365"/>
      <c r="J13" s="936">
        <v>42979</v>
      </c>
      <c r="K13" s="899">
        <v>63</v>
      </c>
      <c r="L13" s="937">
        <v>776</v>
      </c>
      <c r="M13" s="930">
        <v>128</v>
      </c>
      <c r="N13" s="928">
        <v>39</v>
      </c>
      <c r="O13" s="1247">
        <v>992</v>
      </c>
      <c r="P13" s="979">
        <f>AH2-J13</f>
        <v>382</v>
      </c>
      <c r="Q13" s="1017">
        <v>49</v>
      </c>
      <c r="R13" s="946">
        <v>1215</v>
      </c>
      <c r="S13" s="939">
        <f t="shared" si="0"/>
        <v>6.0344827586206895</v>
      </c>
      <c r="T13" s="1035">
        <f t="shared" si="1"/>
        <v>3.9122807017543861</v>
      </c>
      <c r="U13" s="1036">
        <f t="shared" si="2"/>
        <v>95.186929643803367</v>
      </c>
      <c r="V13" s="1035">
        <f t="shared" si="3"/>
        <v>3.1806282722513091</v>
      </c>
      <c r="W13" s="943">
        <f t="shared" si="4"/>
        <v>94.599354890071965</v>
      </c>
      <c r="X13" s="1035"/>
      <c r="Y13" s="944"/>
      <c r="Z13" s="944"/>
      <c r="AA13" s="948"/>
      <c r="AB13" s="948"/>
      <c r="AC13" s="291"/>
      <c r="AD13" s="737"/>
      <c r="AE13" s="119"/>
      <c r="AF13" s="39">
        <f t="shared" si="5"/>
        <v>-42979</v>
      </c>
      <c r="AG13" s="72"/>
      <c r="AH13" s="213"/>
      <c r="AI13" s="40" t="str">
        <f t="shared" si="6"/>
        <v xml:space="preserve"> </v>
      </c>
      <c r="AJ13" s="17"/>
      <c r="AK13" s="48">
        <f t="shared" ref="AK13:AK34" si="10">IF(AI13="ET",0,IF(AI13=0,0,IF(AI13&lt;761,1.32,IF(AI13&lt;1126,0.74,IF(AI13&lt;1491,0.39,IF(AI13&lt;1856,0.14,IF(AI13&lt;2951,0,IF(AI13&lt;3316,0.08,0))))))))</f>
        <v>0</v>
      </c>
      <c r="AL13" s="48">
        <f t="shared" ref="AL13:AL34" si="11">IF(AI13="ET",0,IF(AI13=0,0,IF(AI13&lt;3316,0,IF(AI13&lt;3681,0.16,IF(AI13&lt;4046,0.26,IF(AI13&lt;4411,0.38,0.52))))))</f>
        <v>0.52</v>
      </c>
      <c r="AM13" s="40">
        <f t="shared" ref="AM13:AM34" si="12">IF(AI13="ET",0,IF(AI13=0," ",IF(AI13&lt;769,79,IF(AI13&lt;982,64,IF(AI13&lt;1164,42,IF(AI13&lt;1347,31,IF(AI13&lt;1712,18,IF(AI13&gt;3536,10,0))))))))</f>
        <v>10</v>
      </c>
      <c r="AN13" s="946">
        <v>1040</v>
      </c>
    </row>
    <row r="14" spans="1:43" ht="15.75" customHeight="1" thickBot="1" x14ac:dyDescent="0.3">
      <c r="A14" s="891">
        <v>12</v>
      </c>
      <c r="B14" s="938" t="s">
        <v>356</v>
      </c>
      <c r="C14" s="933" t="s">
        <v>267</v>
      </c>
      <c r="D14" s="904">
        <v>7909</v>
      </c>
      <c r="E14" s="934" t="s">
        <v>36</v>
      </c>
      <c r="F14" s="1328"/>
      <c r="G14" s="1364"/>
      <c r="H14" s="1364"/>
      <c r="I14" s="1365"/>
      <c r="J14" s="936">
        <v>42982</v>
      </c>
      <c r="K14" s="928">
        <v>78</v>
      </c>
      <c r="L14" s="937">
        <v>643</v>
      </c>
      <c r="M14" s="930">
        <v>106</v>
      </c>
      <c r="N14" s="928">
        <v>39</v>
      </c>
      <c r="O14" s="1247">
        <v>963</v>
      </c>
      <c r="P14" s="1016">
        <f>AH2-J14</f>
        <v>379</v>
      </c>
      <c r="Q14" s="1017">
        <v>48.5</v>
      </c>
      <c r="R14" s="946">
        <v>1245</v>
      </c>
      <c r="S14" s="939">
        <f t="shared" si="0"/>
        <v>5</v>
      </c>
      <c r="T14" s="1035">
        <f t="shared" si="1"/>
        <v>4.9473684210526319</v>
      </c>
      <c r="U14" s="1036">
        <f t="shared" si="2"/>
        <v>120.37091551368857</v>
      </c>
      <c r="V14" s="1035">
        <f t="shared" si="3"/>
        <v>3.2849604221635884</v>
      </c>
      <c r="W14" s="943">
        <f t="shared" si="4"/>
        <v>97.702438064582608</v>
      </c>
      <c r="X14" s="1035"/>
      <c r="Y14" s="944"/>
      <c r="Z14" s="944"/>
      <c r="AA14" s="948"/>
      <c r="AB14" s="948"/>
      <c r="AC14" s="291"/>
      <c r="AD14" s="737"/>
      <c r="AE14" s="119"/>
      <c r="AF14" s="39">
        <f t="shared" si="5"/>
        <v>-42982</v>
      </c>
      <c r="AG14" s="72"/>
      <c r="AH14" s="212"/>
      <c r="AI14" s="40" t="str">
        <f t="shared" si="6"/>
        <v xml:space="preserve"> </v>
      </c>
      <c r="AJ14" s="17"/>
      <c r="AK14" s="48">
        <f t="shared" si="10"/>
        <v>0</v>
      </c>
      <c r="AL14" s="48">
        <f t="shared" si="11"/>
        <v>0.52</v>
      </c>
      <c r="AM14" s="40">
        <f t="shared" si="12"/>
        <v>10</v>
      </c>
      <c r="AN14" s="946">
        <v>1100</v>
      </c>
    </row>
    <row r="15" spans="1:43" ht="15.75" customHeight="1" thickBot="1" x14ac:dyDescent="0.3">
      <c r="A15" s="891">
        <v>14</v>
      </c>
      <c r="B15" s="892" t="s">
        <v>356</v>
      </c>
      <c r="C15" s="900" t="s">
        <v>291</v>
      </c>
      <c r="D15" s="901">
        <v>1735</v>
      </c>
      <c r="E15" s="908" t="s">
        <v>36</v>
      </c>
      <c r="F15" s="1328"/>
      <c r="G15" s="1364"/>
      <c r="H15" s="1364"/>
      <c r="I15" s="1365"/>
      <c r="J15" s="902">
        <v>42986</v>
      </c>
      <c r="K15" s="928">
        <v>78</v>
      </c>
      <c r="L15" s="937">
        <v>752</v>
      </c>
      <c r="M15" s="930">
        <v>117</v>
      </c>
      <c r="N15" s="928"/>
      <c r="O15" s="1243">
        <v>927</v>
      </c>
      <c r="P15" s="1245">
        <f>AH2-J15</f>
        <v>375</v>
      </c>
      <c r="Q15" s="1017">
        <v>49.5</v>
      </c>
      <c r="R15" s="946">
        <v>1180</v>
      </c>
      <c r="S15" s="939">
        <f t="shared" si="0"/>
        <v>5.1724137931034484</v>
      </c>
      <c r="T15" s="1035">
        <f t="shared" si="1"/>
        <v>4.4385964912280702</v>
      </c>
      <c r="U15" s="1036">
        <f t="shared" si="2"/>
        <v>107.9923461878128</v>
      </c>
      <c r="V15" s="1035">
        <f t="shared" si="3"/>
        <v>3.1466666666666665</v>
      </c>
      <c r="W15" s="943">
        <f t="shared" si="4"/>
        <v>93.589256977226526</v>
      </c>
      <c r="X15" s="1035"/>
      <c r="Y15" s="944"/>
      <c r="Z15" s="944"/>
      <c r="AA15" s="948"/>
      <c r="AB15" s="948"/>
      <c r="AC15" s="291"/>
      <c r="AD15" s="737"/>
      <c r="AE15" s="119"/>
      <c r="AF15" s="39">
        <f t="shared" si="5"/>
        <v>-42986</v>
      </c>
      <c r="AG15" s="203"/>
      <c r="AH15" s="204"/>
      <c r="AI15" s="40" t="str">
        <f t="shared" si="6"/>
        <v xml:space="preserve"> </v>
      </c>
      <c r="AJ15" s="17"/>
      <c r="AK15" s="48">
        <f t="shared" si="10"/>
        <v>0</v>
      </c>
      <c r="AL15" s="48">
        <f t="shared" si="11"/>
        <v>0.52</v>
      </c>
      <c r="AM15" s="40">
        <f t="shared" si="12"/>
        <v>10</v>
      </c>
      <c r="AN15" s="946">
        <v>1030</v>
      </c>
    </row>
    <row r="16" spans="1:43" ht="15.75" customHeight="1" thickBot="1" x14ac:dyDescent="0.3">
      <c r="A16" s="891">
        <v>15</v>
      </c>
      <c r="B16" s="892" t="s">
        <v>356</v>
      </c>
      <c r="C16" s="900" t="s">
        <v>279</v>
      </c>
      <c r="D16" s="901">
        <v>1753</v>
      </c>
      <c r="E16" s="908" t="s">
        <v>36</v>
      </c>
      <c r="F16" s="1328"/>
      <c r="G16" s="1364"/>
      <c r="H16" s="1364"/>
      <c r="I16" s="1365"/>
      <c r="J16" s="902">
        <v>42990</v>
      </c>
      <c r="K16" s="928">
        <v>79</v>
      </c>
      <c r="L16" s="937">
        <v>747</v>
      </c>
      <c r="M16" s="930">
        <v>108</v>
      </c>
      <c r="N16" s="928"/>
      <c r="O16" s="1248">
        <v>963</v>
      </c>
      <c r="P16" s="1244">
        <f>AH2-J16</f>
        <v>371</v>
      </c>
      <c r="Q16" s="1017">
        <v>49</v>
      </c>
      <c r="R16" s="946">
        <v>1185</v>
      </c>
      <c r="S16" s="939">
        <f t="shared" si="0"/>
        <v>4.1379310344827589</v>
      </c>
      <c r="T16" s="1035">
        <f t="shared" si="1"/>
        <v>3.8947368421052633</v>
      </c>
      <c r="U16" s="1036">
        <f t="shared" si="2"/>
        <v>94.760082425669708</v>
      </c>
      <c r="V16" s="1035">
        <f t="shared" si="3"/>
        <v>3.1940700808625335</v>
      </c>
      <c r="W16" s="943">
        <f t="shared" si="4"/>
        <v>94.999145847811775</v>
      </c>
      <c r="X16" s="1124"/>
      <c r="Y16" s="944"/>
      <c r="Z16" s="944"/>
      <c r="AA16" s="948"/>
      <c r="AB16" s="948"/>
      <c r="AC16" s="291"/>
      <c r="AD16" s="737"/>
      <c r="AE16" s="119"/>
      <c r="AF16" s="39">
        <f t="shared" si="5"/>
        <v>-42990</v>
      </c>
      <c r="AG16" s="203"/>
      <c r="AH16" s="204"/>
      <c r="AI16" s="40" t="str">
        <f t="shared" si="6"/>
        <v xml:space="preserve"> </v>
      </c>
      <c r="AJ16" s="17"/>
      <c r="AK16" s="48">
        <f t="shared" si="10"/>
        <v>0</v>
      </c>
      <c r="AL16" s="48">
        <f t="shared" si="11"/>
        <v>0.52</v>
      </c>
      <c r="AM16" s="40">
        <f t="shared" si="12"/>
        <v>10</v>
      </c>
      <c r="AN16" s="946">
        <v>1065</v>
      </c>
    </row>
    <row r="17" spans="1:40" ht="15.75" customHeight="1" thickBot="1" x14ac:dyDescent="0.3">
      <c r="A17" s="891">
        <v>16</v>
      </c>
      <c r="B17" s="892" t="s">
        <v>356</v>
      </c>
      <c r="C17" s="900" t="s">
        <v>291</v>
      </c>
      <c r="D17" s="904">
        <v>1772</v>
      </c>
      <c r="E17" s="908" t="s">
        <v>36</v>
      </c>
      <c r="F17" s="1328"/>
      <c r="G17" s="1364"/>
      <c r="H17" s="1364"/>
      <c r="I17" s="1365"/>
      <c r="J17" s="902">
        <v>42988</v>
      </c>
      <c r="K17" s="928">
        <v>76</v>
      </c>
      <c r="L17" s="937">
        <v>696</v>
      </c>
      <c r="M17" s="930">
        <v>108</v>
      </c>
      <c r="N17" s="928"/>
      <c r="O17" s="1247">
        <v>998</v>
      </c>
      <c r="P17" s="1016">
        <f>AH2-J17</f>
        <v>373</v>
      </c>
      <c r="Q17" s="1017">
        <v>50</v>
      </c>
      <c r="R17" s="946">
        <v>1275</v>
      </c>
      <c r="S17" s="939">
        <f t="shared" si="0"/>
        <v>5.8620689655172411</v>
      </c>
      <c r="T17" s="1035">
        <f t="shared" si="1"/>
        <v>4.8596491228070171</v>
      </c>
      <c r="U17" s="1036">
        <f t="shared" si="2"/>
        <v>118.23667942302032</v>
      </c>
      <c r="V17" s="1035">
        <f t="shared" si="3"/>
        <v>3.4182305630026808</v>
      </c>
      <c r="W17" s="943">
        <f t="shared" si="4"/>
        <v>101.66620505347488</v>
      </c>
      <c r="X17" s="1035"/>
      <c r="Y17" s="944"/>
      <c r="Z17" s="944"/>
      <c r="AA17" s="948"/>
      <c r="AB17" s="948"/>
      <c r="AC17" s="291"/>
      <c r="AD17" s="737"/>
      <c r="AE17" s="119"/>
      <c r="AF17" s="39">
        <f t="shared" si="5"/>
        <v>-42988</v>
      </c>
      <c r="AG17" s="203"/>
      <c r="AH17" s="205"/>
      <c r="AI17" s="40" t="str">
        <f t="shared" si="6"/>
        <v xml:space="preserve"> </v>
      </c>
      <c r="AJ17" s="17"/>
      <c r="AK17" s="48">
        <f t="shared" si="10"/>
        <v>0</v>
      </c>
      <c r="AL17" s="48">
        <f t="shared" si="11"/>
        <v>0.52</v>
      </c>
      <c r="AM17" s="40">
        <f t="shared" si="12"/>
        <v>10</v>
      </c>
      <c r="AN17" s="946">
        <v>1105</v>
      </c>
    </row>
    <row r="18" spans="1:40" ht="15.75" customHeight="1" x14ac:dyDescent="0.25">
      <c r="A18" s="891">
        <v>19</v>
      </c>
      <c r="B18" s="1071" t="s">
        <v>356</v>
      </c>
      <c r="C18" s="1072" t="s">
        <v>279</v>
      </c>
      <c r="D18" s="1073">
        <v>1759</v>
      </c>
      <c r="E18" s="1125" t="s">
        <v>36</v>
      </c>
      <c r="F18" s="1363"/>
      <c r="G18" s="1364"/>
      <c r="H18" s="1364"/>
      <c r="I18" s="1365"/>
      <c r="J18" s="1074">
        <v>42997</v>
      </c>
      <c r="K18" s="1295">
        <v>78</v>
      </c>
      <c r="L18" s="1075">
        <v>734</v>
      </c>
      <c r="M18" s="956">
        <v>100</v>
      </c>
      <c r="N18" s="1295"/>
      <c r="O18" s="1251">
        <v>938</v>
      </c>
      <c r="P18" s="1076">
        <f>AH2-J18</f>
        <v>364</v>
      </c>
      <c r="Q18" s="662">
        <v>49.5</v>
      </c>
      <c r="R18" s="1302">
        <v>1180</v>
      </c>
      <c r="S18" s="1077">
        <f t="shared" si="0"/>
        <v>3.4482758620689653</v>
      </c>
      <c r="T18" s="1038">
        <f t="shared" si="1"/>
        <v>4.2456140350877192</v>
      </c>
      <c r="U18" s="1078">
        <f t="shared" si="2"/>
        <v>103.29702678834265</v>
      </c>
      <c r="V18" s="1038">
        <f t="shared" si="3"/>
        <v>3.2417582417582418</v>
      </c>
      <c r="W18" s="1079">
        <f t="shared" si="4"/>
        <v>96.417503754010852</v>
      </c>
      <c r="X18" s="1038"/>
      <c r="Y18" s="1054"/>
      <c r="Z18" s="1054"/>
      <c r="AA18" s="955"/>
      <c r="AB18" s="955"/>
      <c r="AC18" s="1080"/>
      <c r="AD18" s="1081"/>
      <c r="AE18" s="1082"/>
      <c r="AF18" s="644">
        <f t="shared" si="5"/>
        <v>-42997</v>
      </c>
      <c r="AG18" s="1083"/>
      <c r="AH18" s="1084"/>
      <c r="AI18" s="1085" t="str">
        <f t="shared" si="6"/>
        <v xml:space="preserve"> </v>
      </c>
      <c r="AJ18" s="1086"/>
      <c r="AK18" s="1087">
        <f t="shared" si="10"/>
        <v>0</v>
      </c>
      <c r="AL18" s="1087">
        <f t="shared" si="11"/>
        <v>0.52</v>
      </c>
      <c r="AM18" s="1085">
        <f t="shared" si="12"/>
        <v>10</v>
      </c>
      <c r="AN18" s="1302">
        <v>1080</v>
      </c>
    </row>
    <row r="19" spans="1:40" ht="15.75" customHeight="1" x14ac:dyDescent="0.25">
      <c r="A19" s="891">
        <v>20</v>
      </c>
      <c r="B19" s="1088" t="s">
        <v>356</v>
      </c>
      <c r="C19" s="1089" t="s">
        <v>296</v>
      </c>
      <c r="D19" s="1126" t="s">
        <v>297</v>
      </c>
      <c r="E19" s="1127" t="s">
        <v>36</v>
      </c>
      <c r="F19" s="1259"/>
      <c r="G19" s="1306"/>
      <c r="H19" s="1306"/>
      <c r="I19" s="1307"/>
      <c r="J19" s="1091">
        <v>42993</v>
      </c>
      <c r="K19" s="1092">
        <v>70</v>
      </c>
      <c r="L19" s="1092"/>
      <c r="M19" s="1092"/>
      <c r="N19" s="1092"/>
      <c r="O19" s="1252">
        <v>984</v>
      </c>
      <c r="P19" s="1249">
        <f>AH2-J19</f>
        <v>368</v>
      </c>
      <c r="Q19" s="1093">
        <v>51</v>
      </c>
      <c r="R19" s="1303">
        <v>1270</v>
      </c>
      <c r="S19" s="1094">
        <f t="shared" ref="S19:S34" si="13">IF(AJ$2=0," ",IF(AL$2=0," ",IF(R19=0," ",IF(AN19=0," ",(R19-AN19)/(AL$2)))))</f>
        <v>5</v>
      </c>
      <c r="T19" s="1094">
        <f t="shared" si="1"/>
        <v>5.0175438596491224</v>
      </c>
      <c r="U19" s="1095">
        <f t="shared" si="2"/>
        <v>122.07830438622314</v>
      </c>
      <c r="V19" s="1094">
        <f t="shared" si="3"/>
        <v>3.4510869565217392</v>
      </c>
      <c r="W19" s="1096">
        <f t="shared" si="4"/>
        <v>102.6434313637715</v>
      </c>
      <c r="X19" s="1094"/>
      <c r="Y19" s="1097"/>
      <c r="Z19" s="1097"/>
      <c r="AA19" s="1096"/>
      <c r="AB19" s="1096"/>
      <c r="AC19" s="1098"/>
      <c r="AD19" s="1099"/>
      <c r="AE19" s="1100"/>
      <c r="AF19" s="1101">
        <f t="shared" ref="AF19:AF34" si="14">+AE19-J19</f>
        <v>-42993</v>
      </c>
      <c r="AG19" s="1102"/>
      <c r="AH19" s="1103"/>
      <c r="AI19" s="1104" t="str">
        <f t="shared" si="6"/>
        <v xml:space="preserve"> </v>
      </c>
      <c r="AJ19" s="1105"/>
      <c r="AK19" s="1106">
        <f t="shared" si="10"/>
        <v>0</v>
      </c>
      <c r="AL19" s="1106">
        <f t="shared" si="11"/>
        <v>0.52</v>
      </c>
      <c r="AM19" s="1104">
        <f t="shared" si="12"/>
        <v>10</v>
      </c>
      <c r="AN19" s="1303">
        <v>1125</v>
      </c>
    </row>
    <row r="20" spans="1:40" ht="15.75" customHeight="1" x14ac:dyDescent="0.25">
      <c r="A20" s="891">
        <v>21</v>
      </c>
      <c r="B20" s="1088" t="s">
        <v>356</v>
      </c>
      <c r="C20" s="1089" t="s">
        <v>291</v>
      </c>
      <c r="D20" s="1126" t="s">
        <v>304</v>
      </c>
      <c r="E20" s="1127" t="s">
        <v>36</v>
      </c>
      <c r="F20" s="1259"/>
      <c r="G20" s="1306"/>
      <c r="H20" s="1306"/>
      <c r="I20" s="1307"/>
      <c r="J20" s="1091">
        <v>43015</v>
      </c>
      <c r="K20" s="1092">
        <v>70</v>
      </c>
      <c r="L20" s="1092">
        <v>716</v>
      </c>
      <c r="M20" s="1092"/>
      <c r="N20" s="1092"/>
      <c r="O20" s="1252">
        <v>1065</v>
      </c>
      <c r="P20" s="1249">
        <f>AH2-J20</f>
        <v>346</v>
      </c>
      <c r="Q20" s="1093">
        <v>49</v>
      </c>
      <c r="R20" s="1303">
        <v>1225</v>
      </c>
      <c r="S20" s="1094">
        <f t="shared" si="13"/>
        <v>3.103448275862069</v>
      </c>
      <c r="T20" s="1094">
        <f t="shared" si="1"/>
        <v>2.807017543859649</v>
      </c>
      <c r="U20" s="1095">
        <f t="shared" si="2"/>
        <v>68.295554901383568</v>
      </c>
      <c r="V20" s="1094">
        <f t="shared" si="3"/>
        <v>3.5404624277456649</v>
      </c>
      <c r="W20" s="1096">
        <f t="shared" si="4"/>
        <v>105.30166778660094</v>
      </c>
      <c r="X20" s="1094"/>
      <c r="Y20" s="1097"/>
      <c r="Z20" s="1097"/>
      <c r="AA20" s="1096"/>
      <c r="AB20" s="1096"/>
      <c r="AC20" s="1098"/>
      <c r="AD20" s="1099"/>
      <c r="AE20" s="1100"/>
      <c r="AF20" s="1101">
        <f t="shared" si="14"/>
        <v>-43015</v>
      </c>
      <c r="AG20" s="1102"/>
      <c r="AH20" s="1103"/>
      <c r="AI20" s="1104" t="str">
        <f t="shared" si="6"/>
        <v xml:space="preserve"> </v>
      </c>
      <c r="AJ20" s="1105"/>
      <c r="AK20" s="1106">
        <f t="shared" si="10"/>
        <v>0</v>
      </c>
      <c r="AL20" s="1106">
        <f t="shared" si="11"/>
        <v>0.52</v>
      </c>
      <c r="AM20" s="1104">
        <f t="shared" si="12"/>
        <v>10</v>
      </c>
      <c r="AN20" s="1303">
        <v>1135</v>
      </c>
    </row>
    <row r="21" spans="1:40" ht="15.75" customHeight="1" x14ac:dyDescent="0.25">
      <c r="A21" s="891">
        <v>23</v>
      </c>
      <c r="B21" s="1088" t="s">
        <v>356</v>
      </c>
      <c r="C21" s="1089" t="s">
        <v>113</v>
      </c>
      <c r="D21" s="1090">
        <v>150</v>
      </c>
      <c r="E21" s="1127" t="s">
        <v>36</v>
      </c>
      <c r="F21" s="1259"/>
      <c r="G21" s="1308"/>
      <c r="H21" s="1306"/>
      <c r="I21" s="1307"/>
      <c r="J21" s="1091">
        <v>42999</v>
      </c>
      <c r="K21" s="1092">
        <v>65</v>
      </c>
      <c r="L21" s="1092">
        <v>726</v>
      </c>
      <c r="M21" s="1092">
        <v>100</v>
      </c>
      <c r="N21" s="1092">
        <v>1</v>
      </c>
      <c r="O21" s="1253">
        <v>1010</v>
      </c>
      <c r="P21" s="1249">
        <f>AH2-J21</f>
        <v>362</v>
      </c>
      <c r="Q21" s="1093">
        <v>49</v>
      </c>
      <c r="R21" s="1303">
        <v>1180</v>
      </c>
      <c r="S21" s="1094">
        <f t="shared" si="13"/>
        <v>2.4137931034482758</v>
      </c>
      <c r="T21" s="1094">
        <f t="shared" si="1"/>
        <v>2.9824561403508771</v>
      </c>
      <c r="U21" s="1095">
        <f t="shared" si="2"/>
        <v>72.564027082720045</v>
      </c>
      <c r="V21" s="1094">
        <f t="shared" si="3"/>
        <v>3.2596685082872927</v>
      </c>
      <c r="W21" s="1096">
        <f t="shared" si="4"/>
        <v>96.950197144916984</v>
      </c>
      <c r="X21" s="1094"/>
      <c r="Y21" s="1097"/>
      <c r="Z21" s="1097"/>
      <c r="AA21" s="1096"/>
      <c r="AB21" s="1096"/>
      <c r="AC21" s="1098"/>
      <c r="AD21" s="1099"/>
      <c r="AE21" s="1100"/>
      <c r="AF21" s="1101">
        <f t="shared" si="14"/>
        <v>-42999</v>
      </c>
      <c r="AG21" s="1102"/>
      <c r="AH21" s="1103"/>
      <c r="AI21" s="1104" t="str">
        <f t="shared" si="6"/>
        <v xml:space="preserve"> </v>
      </c>
      <c r="AJ21" s="1105"/>
      <c r="AK21" s="1106">
        <f t="shared" si="10"/>
        <v>0</v>
      </c>
      <c r="AL21" s="1106">
        <f t="shared" si="11"/>
        <v>0.52</v>
      </c>
      <c r="AM21" s="1104">
        <f t="shared" si="12"/>
        <v>10</v>
      </c>
      <c r="AN21" s="1303">
        <v>1110</v>
      </c>
    </row>
    <row r="22" spans="1:40" ht="15.75" customHeight="1" x14ac:dyDescent="0.25">
      <c r="A22" s="891">
        <v>24</v>
      </c>
      <c r="B22" s="1088" t="s">
        <v>356</v>
      </c>
      <c r="C22" s="1089" t="s">
        <v>309</v>
      </c>
      <c r="D22" s="1126" t="s">
        <v>310</v>
      </c>
      <c r="E22" s="1127" t="s">
        <v>36</v>
      </c>
      <c r="F22" s="1306"/>
      <c r="H22" s="1306"/>
      <c r="I22" s="1307"/>
      <c r="J22" s="1091">
        <v>42983</v>
      </c>
      <c r="K22" s="1092">
        <v>90</v>
      </c>
      <c r="L22" s="1092">
        <v>706</v>
      </c>
      <c r="M22" s="1092">
        <v>100</v>
      </c>
      <c r="N22" s="1092">
        <v>1</v>
      </c>
      <c r="O22" s="1254">
        <v>955</v>
      </c>
      <c r="P22" s="1249">
        <f>AH2-J22</f>
        <v>378</v>
      </c>
      <c r="Q22" s="1093">
        <v>50.5</v>
      </c>
      <c r="R22" s="1303">
        <v>1215</v>
      </c>
      <c r="S22" s="1094">
        <f t="shared" si="13"/>
        <v>4.6551724137931032</v>
      </c>
      <c r="T22" s="1094">
        <f t="shared" si="1"/>
        <v>4.5614035087719298</v>
      </c>
      <c r="U22" s="1095">
        <f t="shared" si="2"/>
        <v>110.9802767147483</v>
      </c>
      <c r="V22" s="1094">
        <f t="shared" si="3"/>
        <v>3.2142857142857144</v>
      </c>
      <c r="W22" s="1096">
        <f t="shared" si="4"/>
        <v>95.600406264570083</v>
      </c>
      <c r="X22" s="1094"/>
      <c r="Y22" s="1097"/>
      <c r="Z22" s="1097"/>
      <c r="AA22" s="1096"/>
      <c r="AB22" s="1096"/>
      <c r="AC22" s="1098"/>
      <c r="AD22" s="1099"/>
      <c r="AE22" s="1100"/>
      <c r="AF22" s="1101">
        <f t="shared" si="14"/>
        <v>-42983</v>
      </c>
      <c r="AG22" s="1102"/>
      <c r="AH22" s="1103"/>
      <c r="AI22" s="1104" t="str">
        <f t="shared" si="6"/>
        <v xml:space="preserve"> </v>
      </c>
      <c r="AJ22" s="1105"/>
      <c r="AK22" s="1106">
        <f t="shared" si="10"/>
        <v>0</v>
      </c>
      <c r="AL22" s="1106">
        <f t="shared" si="11"/>
        <v>0.52</v>
      </c>
      <c r="AM22" s="1104">
        <f t="shared" si="12"/>
        <v>10</v>
      </c>
      <c r="AN22" s="1303">
        <v>1080</v>
      </c>
    </row>
    <row r="23" spans="1:40" ht="15.75" customHeight="1" x14ac:dyDescent="0.25">
      <c r="A23" s="891">
        <v>25</v>
      </c>
      <c r="B23" s="1088" t="s">
        <v>356</v>
      </c>
      <c r="C23" s="1089" t="s">
        <v>311</v>
      </c>
      <c r="D23" s="1090">
        <v>836</v>
      </c>
      <c r="E23" s="1127" t="s">
        <v>36</v>
      </c>
      <c r="F23" s="1259"/>
      <c r="G23" s="1306"/>
      <c r="H23" s="1306"/>
      <c r="I23" s="1307"/>
      <c r="J23" s="1091">
        <v>42985</v>
      </c>
      <c r="K23" s="1092">
        <v>75</v>
      </c>
      <c r="L23" s="1092">
        <v>698</v>
      </c>
      <c r="M23" s="1092"/>
      <c r="N23" s="1092"/>
      <c r="O23" s="1252">
        <v>1185</v>
      </c>
      <c r="P23" s="1249">
        <f>AH2-J23</f>
        <v>376</v>
      </c>
      <c r="Q23" s="1093">
        <v>50.5</v>
      </c>
      <c r="R23" s="1303">
        <v>1420</v>
      </c>
      <c r="S23" s="1094">
        <f t="shared" si="13"/>
        <v>5.1724137931034484</v>
      </c>
      <c r="T23" s="1094">
        <f t="shared" si="1"/>
        <v>4.1228070175438596</v>
      </c>
      <c r="U23" s="1095">
        <f t="shared" si="2"/>
        <v>100.30909626140713</v>
      </c>
      <c r="V23" s="1094">
        <f t="shared" si="3"/>
        <v>3.7765957446808511</v>
      </c>
      <c r="W23" s="1096">
        <f t="shared" si="4"/>
        <v>112.32482721865563</v>
      </c>
      <c r="X23" s="1094"/>
      <c r="Y23" s="1097"/>
      <c r="Z23" s="1097"/>
      <c r="AA23" s="1096"/>
      <c r="AB23" s="1096"/>
      <c r="AC23" s="1098"/>
      <c r="AD23" s="1099"/>
      <c r="AE23" s="1100"/>
      <c r="AF23" s="1101">
        <f t="shared" si="14"/>
        <v>-42985</v>
      </c>
      <c r="AG23" s="1102"/>
      <c r="AH23" s="1103"/>
      <c r="AI23" s="1104" t="str">
        <f t="shared" si="6"/>
        <v xml:space="preserve"> </v>
      </c>
      <c r="AJ23" s="1105"/>
      <c r="AK23" s="1106">
        <f t="shared" si="10"/>
        <v>0</v>
      </c>
      <c r="AL23" s="1106">
        <f t="shared" si="11"/>
        <v>0.52</v>
      </c>
      <c r="AM23" s="1104">
        <f t="shared" si="12"/>
        <v>10</v>
      </c>
      <c r="AN23" s="1303">
        <v>1270</v>
      </c>
    </row>
    <row r="24" spans="1:40" ht="15.75" customHeight="1" x14ac:dyDescent="0.25">
      <c r="A24" s="891">
        <v>26</v>
      </c>
      <c r="B24" s="1088" t="s">
        <v>356</v>
      </c>
      <c r="C24" s="1089" t="s">
        <v>319</v>
      </c>
      <c r="D24" s="1090">
        <v>705</v>
      </c>
      <c r="E24" s="1127" t="s">
        <v>36</v>
      </c>
      <c r="F24" s="1259"/>
      <c r="G24" s="1306"/>
      <c r="H24" s="1306"/>
      <c r="I24" s="1307"/>
      <c r="J24" s="1091">
        <v>42979</v>
      </c>
      <c r="K24" s="1092">
        <v>63</v>
      </c>
      <c r="L24" s="1092">
        <v>737</v>
      </c>
      <c r="M24" s="1092">
        <v>107</v>
      </c>
      <c r="N24" s="1092">
        <v>12</v>
      </c>
      <c r="O24" s="1252">
        <v>1040</v>
      </c>
      <c r="P24" s="1249">
        <f>AH2-J24</f>
        <v>382</v>
      </c>
      <c r="Q24" s="1093">
        <v>50</v>
      </c>
      <c r="R24" s="1303">
        <v>1195</v>
      </c>
      <c r="S24" s="1094">
        <f t="shared" si="13"/>
        <v>3.4482758620689653</v>
      </c>
      <c r="T24" s="1094">
        <f t="shared" si="1"/>
        <v>2.7192982456140351</v>
      </c>
      <c r="U24" s="1095">
        <f t="shared" si="2"/>
        <v>66.161318810715343</v>
      </c>
      <c r="V24" s="1094">
        <f t="shared" si="3"/>
        <v>3.1282722513089007</v>
      </c>
      <c r="W24" s="1096">
        <f t="shared" si="4"/>
        <v>93.042163863074904</v>
      </c>
      <c r="X24" s="1094"/>
      <c r="Y24" s="1097"/>
      <c r="Z24" s="1097"/>
      <c r="AA24" s="1096"/>
      <c r="AB24" s="1096"/>
      <c r="AC24" s="1098"/>
      <c r="AD24" s="1099"/>
      <c r="AE24" s="1100"/>
      <c r="AF24" s="1101">
        <f t="shared" si="14"/>
        <v>-42979</v>
      </c>
      <c r="AG24" s="1102"/>
      <c r="AH24" s="1103"/>
      <c r="AI24" s="1104" t="str">
        <f t="shared" si="6"/>
        <v xml:space="preserve"> </v>
      </c>
      <c r="AJ24" s="1105"/>
      <c r="AK24" s="1106">
        <f t="shared" si="10"/>
        <v>0</v>
      </c>
      <c r="AL24" s="1106">
        <f t="shared" si="11"/>
        <v>0.52</v>
      </c>
      <c r="AM24" s="1104">
        <f t="shared" si="12"/>
        <v>10</v>
      </c>
      <c r="AN24" s="1303">
        <v>1095</v>
      </c>
    </row>
    <row r="25" spans="1:40" ht="15.75" customHeight="1" x14ac:dyDescent="0.25">
      <c r="A25" s="891">
        <v>27</v>
      </c>
      <c r="B25" s="1088" t="s">
        <v>356</v>
      </c>
      <c r="C25" s="1089" t="s">
        <v>320</v>
      </c>
      <c r="D25" s="1090">
        <v>720</v>
      </c>
      <c r="E25" s="1127" t="s">
        <v>36</v>
      </c>
      <c r="F25" s="1259"/>
      <c r="G25" s="1306"/>
      <c r="H25" s="1306"/>
      <c r="I25" s="1307"/>
      <c r="J25" s="1091">
        <v>42982</v>
      </c>
      <c r="K25" s="1092">
        <v>75</v>
      </c>
      <c r="L25" s="1092">
        <v>797</v>
      </c>
      <c r="M25" s="1092">
        <v>116</v>
      </c>
      <c r="N25" s="1092">
        <v>12</v>
      </c>
      <c r="O25" s="1252">
        <v>1172</v>
      </c>
      <c r="P25" s="1249">
        <f>AH2-J25</f>
        <v>379</v>
      </c>
      <c r="Q25" s="1093">
        <v>50.5</v>
      </c>
      <c r="R25" s="1303">
        <v>1395</v>
      </c>
      <c r="S25" s="1094">
        <f t="shared" si="13"/>
        <v>4.1379310344827589</v>
      </c>
      <c r="T25" s="1094">
        <f t="shared" si="1"/>
        <v>3.9122807017543861</v>
      </c>
      <c r="U25" s="1095">
        <f t="shared" si="2"/>
        <v>95.186929643803367</v>
      </c>
      <c r="V25" s="1094">
        <f t="shared" si="3"/>
        <v>3.6807387862796834</v>
      </c>
      <c r="W25" s="1096">
        <f t="shared" si="4"/>
        <v>109.47381614465282</v>
      </c>
      <c r="X25" s="1094"/>
      <c r="Y25" s="1097"/>
      <c r="Z25" s="1097"/>
      <c r="AA25" s="1096"/>
      <c r="AB25" s="1096"/>
      <c r="AC25" s="1098"/>
      <c r="AD25" s="1099"/>
      <c r="AE25" s="1100"/>
      <c r="AF25" s="1101">
        <f t="shared" si="14"/>
        <v>-42982</v>
      </c>
      <c r="AG25" s="1102"/>
      <c r="AH25" s="1103"/>
      <c r="AI25" s="1104" t="str">
        <f t="shared" si="6"/>
        <v xml:space="preserve"> </v>
      </c>
      <c r="AJ25" s="1105"/>
      <c r="AK25" s="1106">
        <f t="shared" si="10"/>
        <v>0</v>
      </c>
      <c r="AL25" s="1106">
        <f t="shared" si="11"/>
        <v>0.52</v>
      </c>
      <c r="AM25" s="1104">
        <f t="shared" si="12"/>
        <v>10</v>
      </c>
      <c r="AN25" s="1303">
        <v>1275</v>
      </c>
    </row>
    <row r="26" spans="1:40" ht="15.75" customHeight="1" x14ac:dyDescent="0.25">
      <c r="A26" s="891">
        <v>32</v>
      </c>
      <c r="B26" s="1088" t="s">
        <v>356</v>
      </c>
      <c r="C26" s="1089" t="s">
        <v>326</v>
      </c>
      <c r="D26" s="1126" t="s">
        <v>285</v>
      </c>
      <c r="E26" s="1127" t="s">
        <v>36</v>
      </c>
      <c r="F26" s="1259"/>
      <c r="G26" s="1306"/>
      <c r="H26" s="1306"/>
      <c r="I26" s="1307"/>
      <c r="J26" s="1091">
        <v>43004</v>
      </c>
      <c r="K26" s="1092"/>
      <c r="L26" s="1092">
        <v>666</v>
      </c>
      <c r="M26" s="1092">
        <v>105</v>
      </c>
      <c r="N26" s="1092"/>
      <c r="O26" s="1252">
        <v>856</v>
      </c>
      <c r="P26" s="1249">
        <f>AH2-J26</f>
        <v>357</v>
      </c>
      <c r="Q26" s="1093">
        <v>48.5</v>
      </c>
      <c r="R26" s="1303">
        <v>1040</v>
      </c>
      <c r="S26" s="1094">
        <f t="shared" si="13"/>
        <v>1.7931034482758621</v>
      </c>
      <c r="T26" s="1094">
        <f t="shared" si="1"/>
        <v>3.2280701754385963</v>
      </c>
      <c r="U26" s="1095">
        <f t="shared" si="2"/>
        <v>78.539888136591102</v>
      </c>
      <c r="V26" s="1094">
        <f t="shared" si="3"/>
        <v>2.9131652661064424</v>
      </c>
      <c r="W26" s="1096">
        <f t="shared" si="4"/>
        <v>86.644376919523197</v>
      </c>
      <c r="X26" s="1094"/>
      <c r="Y26" s="1097"/>
      <c r="Z26" s="1097"/>
      <c r="AA26" s="1096"/>
      <c r="AB26" s="1096"/>
      <c r="AC26" s="1098"/>
      <c r="AD26" s="1099"/>
      <c r="AE26" s="1100"/>
      <c r="AF26" s="1101">
        <f t="shared" si="14"/>
        <v>-43004</v>
      </c>
      <c r="AG26" s="1102"/>
      <c r="AH26" s="1103"/>
      <c r="AI26" s="1104" t="str">
        <f t="shared" si="6"/>
        <v xml:space="preserve"> </v>
      </c>
      <c r="AJ26" s="1105"/>
      <c r="AK26" s="1106">
        <f t="shared" si="10"/>
        <v>0</v>
      </c>
      <c r="AL26" s="1106">
        <f t="shared" si="11"/>
        <v>0.52</v>
      </c>
      <c r="AM26" s="1104">
        <f t="shared" si="12"/>
        <v>10</v>
      </c>
      <c r="AN26" s="1303">
        <v>988</v>
      </c>
    </row>
    <row r="27" spans="1:40" ht="15.75" customHeight="1" x14ac:dyDescent="0.25">
      <c r="A27" s="891">
        <v>35</v>
      </c>
      <c r="B27" s="1088" t="s">
        <v>356</v>
      </c>
      <c r="C27" s="1089" t="s">
        <v>267</v>
      </c>
      <c r="D27" s="1126" t="s">
        <v>328</v>
      </c>
      <c r="E27" s="1127" t="s">
        <v>36</v>
      </c>
      <c r="F27" s="1259"/>
      <c r="G27" s="1306"/>
      <c r="H27" s="1306"/>
      <c r="I27" s="1307"/>
      <c r="J27" s="1091">
        <v>43014</v>
      </c>
      <c r="K27" s="1092">
        <v>68</v>
      </c>
      <c r="L27" s="1092">
        <v>757</v>
      </c>
      <c r="M27" s="1092">
        <v>113</v>
      </c>
      <c r="N27" s="1092">
        <v>5</v>
      </c>
      <c r="O27" s="1252">
        <v>970</v>
      </c>
      <c r="P27" s="1249">
        <f>AH2-J27</f>
        <v>347</v>
      </c>
      <c r="Q27" s="1093">
        <v>50</v>
      </c>
      <c r="R27" s="1303">
        <v>1190</v>
      </c>
      <c r="S27" s="1094">
        <f t="shared" si="13"/>
        <v>3.4482758620689653</v>
      </c>
      <c r="T27" s="1094">
        <f t="shared" si="1"/>
        <v>3.8596491228070176</v>
      </c>
      <c r="U27" s="1095">
        <f t="shared" si="2"/>
        <v>93.906387989402418</v>
      </c>
      <c r="V27" s="1094">
        <f t="shared" si="3"/>
        <v>3.4293948126801155</v>
      </c>
      <c r="W27" s="1096">
        <f t="shared" si="4"/>
        <v>101.99825605941324</v>
      </c>
      <c r="X27" s="1094"/>
      <c r="Y27" s="1097"/>
      <c r="Z27" s="1097"/>
      <c r="AA27" s="1096"/>
      <c r="AB27" s="1096"/>
      <c r="AC27" s="1098"/>
      <c r="AD27" s="1099"/>
      <c r="AE27" s="1100"/>
      <c r="AF27" s="1101">
        <f t="shared" si="14"/>
        <v>-43014</v>
      </c>
      <c r="AG27" s="1102"/>
      <c r="AH27" s="1103"/>
      <c r="AI27" s="1104" t="str">
        <f t="shared" si="6"/>
        <v xml:space="preserve"> </v>
      </c>
      <c r="AJ27" s="1105"/>
      <c r="AK27" s="1106">
        <f t="shared" si="10"/>
        <v>0</v>
      </c>
      <c r="AL27" s="1106">
        <f t="shared" si="11"/>
        <v>0.52</v>
      </c>
      <c r="AM27" s="1104">
        <f t="shared" si="12"/>
        <v>10</v>
      </c>
      <c r="AN27" s="1303">
        <v>1090</v>
      </c>
    </row>
    <row r="28" spans="1:40" ht="15.75" customHeight="1" x14ac:dyDescent="0.25">
      <c r="A28" s="1129">
        <v>36</v>
      </c>
      <c r="B28" s="1130" t="s">
        <v>356</v>
      </c>
      <c r="C28" s="1131" t="s">
        <v>326</v>
      </c>
      <c r="D28" s="1149" t="s">
        <v>329</v>
      </c>
      <c r="E28" s="1150" t="s">
        <v>36</v>
      </c>
      <c r="F28" s="1259"/>
      <c r="G28" s="1306"/>
      <c r="H28" s="1306"/>
      <c r="I28" s="1307"/>
      <c r="J28" s="1133">
        <v>43014</v>
      </c>
      <c r="K28" s="1134">
        <v>66</v>
      </c>
      <c r="L28" s="1134">
        <v>670</v>
      </c>
      <c r="M28" s="1134">
        <v>100</v>
      </c>
      <c r="N28" s="1134">
        <v>5</v>
      </c>
      <c r="O28" s="1252">
        <v>932</v>
      </c>
      <c r="P28" s="1249">
        <f>AH2-J28</f>
        <v>347</v>
      </c>
      <c r="Q28" s="1135">
        <v>48.5</v>
      </c>
      <c r="R28" s="1303">
        <v>1150</v>
      </c>
      <c r="S28" s="1136">
        <f t="shared" si="13"/>
        <v>4.3103448275862073</v>
      </c>
      <c r="T28" s="1136">
        <f t="shared" si="1"/>
        <v>3.8245614035087718</v>
      </c>
      <c r="U28" s="1137">
        <f t="shared" si="2"/>
        <v>93.052693553135128</v>
      </c>
      <c r="V28" s="1136">
        <f t="shared" si="3"/>
        <v>3.3141210374639769</v>
      </c>
      <c r="W28" s="1138">
        <f t="shared" si="4"/>
        <v>98.569743250693449</v>
      </c>
      <c r="X28" s="1136"/>
      <c r="Y28" s="1139"/>
      <c r="Z28" s="1139"/>
      <c r="AA28" s="1138"/>
      <c r="AB28" s="1138"/>
      <c r="AC28" s="1140"/>
      <c r="AD28" s="1141"/>
      <c r="AE28" s="1142"/>
      <c r="AF28" s="1143">
        <f t="shared" si="14"/>
        <v>-43014</v>
      </c>
      <c r="AG28" s="1144"/>
      <c r="AH28" s="1145"/>
      <c r="AI28" s="1146" t="str">
        <f t="shared" si="6"/>
        <v xml:space="preserve"> </v>
      </c>
      <c r="AJ28" s="1147"/>
      <c r="AK28" s="1148">
        <f t="shared" si="10"/>
        <v>0</v>
      </c>
      <c r="AL28" s="1148">
        <f t="shared" si="11"/>
        <v>0.52</v>
      </c>
      <c r="AM28" s="1146">
        <f t="shared" si="12"/>
        <v>10</v>
      </c>
      <c r="AN28" s="1303">
        <v>1025</v>
      </c>
    </row>
    <row r="29" spans="1:40" ht="15.75" customHeight="1" x14ac:dyDescent="0.25">
      <c r="A29" s="1129">
        <v>41</v>
      </c>
      <c r="B29" s="1130" t="s">
        <v>131</v>
      </c>
      <c r="C29" s="1131" t="s">
        <v>334</v>
      </c>
      <c r="D29" s="1149" t="s">
        <v>335</v>
      </c>
      <c r="E29" s="1150" t="s">
        <v>36</v>
      </c>
      <c r="F29" s="1259"/>
      <c r="G29" s="1306"/>
      <c r="H29" s="1306"/>
      <c r="I29" s="1307"/>
      <c r="J29" s="1133">
        <v>42992</v>
      </c>
      <c r="K29" s="1134">
        <v>85</v>
      </c>
      <c r="L29" s="1134">
        <v>709</v>
      </c>
      <c r="M29" s="1134">
        <v>102</v>
      </c>
      <c r="N29" s="1134">
        <v>8</v>
      </c>
      <c r="O29" s="1252">
        <v>903</v>
      </c>
      <c r="P29" s="1249">
        <f>AH2-J29</f>
        <v>369</v>
      </c>
      <c r="Q29" s="1135">
        <v>48.5</v>
      </c>
      <c r="R29" s="1303">
        <v>1185</v>
      </c>
      <c r="S29" s="1136">
        <f t="shared" si="13"/>
        <v>4.8275862068965516</v>
      </c>
      <c r="T29" s="1136">
        <f t="shared" si="1"/>
        <v>4.9473684210526319</v>
      </c>
      <c r="U29" s="1137">
        <f t="shared" si="2"/>
        <v>120.37091551368857</v>
      </c>
      <c r="V29" s="1136">
        <f t="shared" si="3"/>
        <v>3.2113821138211383</v>
      </c>
      <c r="W29" s="1138">
        <f t="shared" si="4"/>
        <v>95.514046367312105</v>
      </c>
      <c r="X29" s="1136"/>
      <c r="Y29" s="1139"/>
      <c r="Z29" s="1139"/>
      <c r="AA29" s="1138"/>
      <c r="AB29" s="1138"/>
      <c r="AC29" s="1140"/>
      <c r="AD29" s="1141"/>
      <c r="AE29" s="1142"/>
      <c r="AF29" s="1143">
        <f t="shared" si="14"/>
        <v>-42992</v>
      </c>
      <c r="AG29" s="1144"/>
      <c r="AH29" s="1145"/>
      <c r="AI29" s="1146" t="str">
        <f t="shared" si="6"/>
        <v xml:space="preserve"> </v>
      </c>
      <c r="AJ29" s="1147"/>
      <c r="AK29" s="1148">
        <f t="shared" si="10"/>
        <v>0</v>
      </c>
      <c r="AL29" s="1148">
        <f t="shared" si="11"/>
        <v>0.52</v>
      </c>
      <c r="AM29" s="1146">
        <f t="shared" si="12"/>
        <v>10</v>
      </c>
      <c r="AN29" s="1303">
        <v>1045</v>
      </c>
    </row>
    <row r="30" spans="1:40" ht="15.75" customHeight="1" x14ac:dyDescent="0.25">
      <c r="A30" s="1129">
        <v>42</v>
      </c>
      <c r="B30" s="1130" t="s">
        <v>131</v>
      </c>
      <c r="C30" s="1131" t="s">
        <v>336</v>
      </c>
      <c r="D30" s="1149" t="s">
        <v>337</v>
      </c>
      <c r="E30" s="1150" t="s">
        <v>36</v>
      </c>
      <c r="F30" s="1259"/>
      <c r="G30" s="1306"/>
      <c r="H30" s="1306"/>
      <c r="I30" s="1307"/>
      <c r="J30" s="1133">
        <v>43004</v>
      </c>
      <c r="K30" s="1134">
        <v>74</v>
      </c>
      <c r="L30" s="1134">
        <v>757</v>
      </c>
      <c r="M30" s="1134">
        <v>109</v>
      </c>
      <c r="N30" s="1134">
        <v>8</v>
      </c>
      <c r="O30" s="1252">
        <v>948</v>
      </c>
      <c r="P30" s="1249">
        <f>AH2-J30</f>
        <v>357</v>
      </c>
      <c r="Q30" s="1135">
        <v>48</v>
      </c>
      <c r="R30" s="1303">
        <v>1125</v>
      </c>
      <c r="S30" s="1136">
        <f t="shared" si="13"/>
        <v>3.7931034482758621</v>
      </c>
      <c r="T30" s="1136">
        <f t="shared" si="1"/>
        <v>3.1052631578947367</v>
      </c>
      <c r="U30" s="1137">
        <f t="shared" si="2"/>
        <v>75.551957609655588</v>
      </c>
      <c r="V30" s="1136">
        <f t="shared" si="3"/>
        <v>3.1512605042016806</v>
      </c>
      <c r="W30" s="1138">
        <f t="shared" si="4"/>
        <v>93.725888494676539</v>
      </c>
      <c r="X30" s="1136"/>
      <c r="Y30" s="1139"/>
      <c r="Z30" s="1139"/>
      <c r="AA30" s="1138"/>
      <c r="AB30" s="1138"/>
      <c r="AC30" s="1140"/>
      <c r="AD30" s="1141"/>
      <c r="AE30" s="1142"/>
      <c r="AF30" s="1143">
        <f t="shared" si="14"/>
        <v>-43004</v>
      </c>
      <c r="AG30" s="1144"/>
      <c r="AH30" s="1145"/>
      <c r="AI30" s="1146" t="str">
        <f t="shared" si="6"/>
        <v xml:space="preserve"> </v>
      </c>
      <c r="AJ30" s="1147"/>
      <c r="AK30" s="1148">
        <f t="shared" si="10"/>
        <v>0</v>
      </c>
      <c r="AL30" s="1148">
        <f t="shared" si="11"/>
        <v>0.52</v>
      </c>
      <c r="AM30" s="1146">
        <f t="shared" si="12"/>
        <v>10</v>
      </c>
      <c r="AN30" s="1303">
        <v>1015</v>
      </c>
    </row>
    <row r="31" spans="1:40" ht="15.75" customHeight="1" x14ac:dyDescent="0.25">
      <c r="A31" s="1129">
        <v>43</v>
      </c>
      <c r="B31" s="1130" t="s">
        <v>131</v>
      </c>
      <c r="C31" s="1131" t="s">
        <v>336</v>
      </c>
      <c r="D31" s="1149" t="s">
        <v>338</v>
      </c>
      <c r="E31" s="1150" t="s">
        <v>36</v>
      </c>
      <c r="F31" s="1259"/>
      <c r="G31" s="1306"/>
      <c r="H31" s="1306"/>
      <c r="I31" s="1307"/>
      <c r="J31" s="1133">
        <v>43017</v>
      </c>
      <c r="K31" s="1134">
        <v>89</v>
      </c>
      <c r="L31" s="1134">
        <v>692</v>
      </c>
      <c r="M31" s="1134">
        <v>99</v>
      </c>
      <c r="N31" s="1134">
        <v>8</v>
      </c>
      <c r="O31" s="1252">
        <v>950</v>
      </c>
      <c r="P31" s="1249">
        <f>AH2-J31</f>
        <v>344</v>
      </c>
      <c r="Q31" s="1135">
        <v>49.5</v>
      </c>
      <c r="R31" s="1303">
        <v>1135</v>
      </c>
      <c r="S31" s="1136">
        <f t="shared" si="13"/>
        <v>2.9310344827586206</v>
      </c>
      <c r="T31" s="1136">
        <f t="shared" si="1"/>
        <v>3.2456140350877192</v>
      </c>
      <c r="U31" s="1137">
        <f t="shared" si="2"/>
        <v>78.966735354724761</v>
      </c>
      <c r="V31" s="1136">
        <f t="shared" si="3"/>
        <v>3.2994186046511627</v>
      </c>
      <c r="W31" s="1138">
        <f t="shared" si="4"/>
        <v>98.132458368476648</v>
      </c>
      <c r="X31" s="1136"/>
      <c r="Y31" s="1139"/>
      <c r="Z31" s="1139"/>
      <c r="AA31" s="1138"/>
      <c r="AB31" s="1138"/>
      <c r="AC31" s="1140"/>
      <c r="AD31" s="1141"/>
      <c r="AE31" s="1142"/>
      <c r="AF31" s="1143">
        <f t="shared" si="14"/>
        <v>-43017</v>
      </c>
      <c r="AG31" s="1144"/>
      <c r="AH31" s="1145"/>
      <c r="AI31" s="1146" t="str">
        <f t="shared" si="6"/>
        <v xml:space="preserve"> </v>
      </c>
      <c r="AJ31" s="1147"/>
      <c r="AK31" s="1148">
        <f t="shared" si="10"/>
        <v>0</v>
      </c>
      <c r="AL31" s="1148">
        <f t="shared" si="11"/>
        <v>0.52</v>
      </c>
      <c r="AM31" s="1146">
        <f t="shared" si="12"/>
        <v>10</v>
      </c>
      <c r="AN31" s="1303">
        <v>1050</v>
      </c>
    </row>
    <row r="32" spans="1:40" ht="15.75" customHeight="1" x14ac:dyDescent="0.25">
      <c r="A32" s="1129">
        <v>44</v>
      </c>
      <c r="B32" s="1130" t="s">
        <v>131</v>
      </c>
      <c r="C32" s="1131" t="s">
        <v>341</v>
      </c>
      <c r="D32" s="1132">
        <v>759</v>
      </c>
      <c r="E32" s="1150" t="s">
        <v>36</v>
      </c>
      <c r="F32" s="1259"/>
      <c r="G32" s="1306"/>
      <c r="H32" s="1306"/>
      <c r="I32" s="1307"/>
      <c r="J32" s="1133">
        <v>42987</v>
      </c>
      <c r="K32" s="1134">
        <v>60</v>
      </c>
      <c r="L32" s="1134">
        <v>705</v>
      </c>
      <c r="M32" s="1134">
        <v>99</v>
      </c>
      <c r="N32" s="1134"/>
      <c r="O32" s="1252">
        <v>1035</v>
      </c>
      <c r="P32" s="1249">
        <f>AH2-J32</f>
        <v>374</v>
      </c>
      <c r="Q32" s="1135">
        <v>49.5</v>
      </c>
      <c r="R32" s="1303">
        <v>1300</v>
      </c>
      <c r="S32" s="1136">
        <f t="shared" si="13"/>
        <v>5</v>
      </c>
      <c r="T32" s="1136">
        <f t="shared" si="1"/>
        <v>4.6491228070175437</v>
      </c>
      <c r="U32" s="1137">
        <f t="shared" si="2"/>
        <v>113.11451280541655</v>
      </c>
      <c r="V32" s="1136">
        <f t="shared" si="3"/>
        <v>3.4759358288770055</v>
      </c>
      <c r="W32" s="1138">
        <f t="shared" si="4"/>
        <v>103.38249518806745</v>
      </c>
      <c r="X32" s="1136"/>
      <c r="Y32" s="1139"/>
      <c r="Z32" s="1139"/>
      <c r="AA32" s="1138"/>
      <c r="AB32" s="1138"/>
      <c r="AC32" s="1140"/>
      <c r="AD32" s="1141"/>
      <c r="AE32" s="1142"/>
      <c r="AF32" s="1143">
        <f t="shared" si="14"/>
        <v>-42987</v>
      </c>
      <c r="AG32" s="1144"/>
      <c r="AH32" s="1145"/>
      <c r="AI32" s="1146" t="str">
        <f t="shared" si="6"/>
        <v xml:space="preserve"> </v>
      </c>
      <c r="AJ32" s="1147"/>
      <c r="AK32" s="1148">
        <f t="shared" si="10"/>
        <v>0</v>
      </c>
      <c r="AL32" s="1148">
        <f t="shared" si="11"/>
        <v>0.52</v>
      </c>
      <c r="AM32" s="1146">
        <f t="shared" si="12"/>
        <v>10</v>
      </c>
      <c r="AN32" s="1303">
        <v>1155</v>
      </c>
    </row>
    <row r="33" spans="1:43" ht="15.75" customHeight="1" x14ac:dyDescent="0.25">
      <c r="A33" s="1129">
        <v>45</v>
      </c>
      <c r="B33" s="1130" t="s">
        <v>131</v>
      </c>
      <c r="C33" s="1131" t="s">
        <v>342</v>
      </c>
      <c r="D33" s="1132">
        <v>789</v>
      </c>
      <c r="E33" s="1150" t="s">
        <v>36</v>
      </c>
      <c r="F33" s="1259"/>
      <c r="G33" s="1306"/>
      <c r="H33" s="1306"/>
      <c r="I33" s="1307"/>
      <c r="J33" s="1133">
        <v>43013</v>
      </c>
      <c r="K33" s="1134">
        <v>70</v>
      </c>
      <c r="L33" s="1134">
        <v>621</v>
      </c>
      <c r="M33" s="1134">
        <v>100</v>
      </c>
      <c r="N33" s="1134"/>
      <c r="O33" s="1252">
        <v>942</v>
      </c>
      <c r="P33" s="1249">
        <f>AH2-J33</f>
        <v>348</v>
      </c>
      <c r="Q33" s="1135">
        <v>50</v>
      </c>
      <c r="R33" s="1303">
        <v>1155</v>
      </c>
      <c r="S33" s="1136">
        <f t="shared" si="13"/>
        <v>2.9310344827586206</v>
      </c>
      <c r="T33" s="1136">
        <f t="shared" si="1"/>
        <v>3.736842105263158</v>
      </c>
      <c r="U33" s="1137">
        <f t="shared" si="2"/>
        <v>90.91845746246689</v>
      </c>
      <c r="V33" s="1136">
        <f t="shared" si="3"/>
        <v>3.3189655172413794</v>
      </c>
      <c r="W33" s="1138">
        <f t="shared" si="4"/>
        <v>98.713829457094391</v>
      </c>
      <c r="X33" s="1136"/>
      <c r="Y33" s="1139"/>
      <c r="Z33" s="1139"/>
      <c r="AA33" s="1138"/>
      <c r="AB33" s="1138"/>
      <c r="AC33" s="1140"/>
      <c r="AD33" s="1141"/>
      <c r="AE33" s="1142"/>
      <c r="AF33" s="1143">
        <f t="shared" si="14"/>
        <v>-43013</v>
      </c>
      <c r="AG33" s="1144"/>
      <c r="AH33" s="1145"/>
      <c r="AI33" s="1146" t="str">
        <f t="shared" si="6"/>
        <v xml:space="preserve"> </v>
      </c>
      <c r="AJ33" s="1147"/>
      <c r="AK33" s="1148">
        <f t="shared" si="10"/>
        <v>0</v>
      </c>
      <c r="AL33" s="1148">
        <f t="shared" si="11"/>
        <v>0.52</v>
      </c>
      <c r="AM33" s="1146">
        <f t="shared" si="12"/>
        <v>10</v>
      </c>
      <c r="AN33" s="1303">
        <v>1070</v>
      </c>
    </row>
    <row r="34" spans="1:43" ht="15.75" customHeight="1" x14ac:dyDescent="0.25">
      <c r="A34" s="1129">
        <v>46</v>
      </c>
      <c r="B34" s="1130" t="s">
        <v>131</v>
      </c>
      <c r="C34" s="1131" t="s">
        <v>342</v>
      </c>
      <c r="D34" s="1132">
        <v>793</v>
      </c>
      <c r="E34" s="1150" t="s">
        <v>36</v>
      </c>
      <c r="F34" s="1306"/>
      <c r="G34" s="1306"/>
      <c r="H34" s="1306"/>
      <c r="I34" s="1307"/>
      <c r="J34" s="1133">
        <v>43028</v>
      </c>
      <c r="K34" s="1134">
        <v>70</v>
      </c>
      <c r="L34" s="1134">
        <v>684</v>
      </c>
      <c r="M34" s="1134">
        <v>101</v>
      </c>
      <c r="N34" s="1134"/>
      <c r="O34" s="1252">
        <v>945</v>
      </c>
      <c r="P34" s="1249">
        <f>AH2-J34</f>
        <v>333</v>
      </c>
      <c r="Q34" s="1135">
        <v>49</v>
      </c>
      <c r="R34" s="1303">
        <v>1185</v>
      </c>
      <c r="S34" s="1136">
        <f t="shared" si="13"/>
        <v>3.6206896551724137</v>
      </c>
      <c r="T34" s="1136">
        <f t="shared" si="1"/>
        <v>4.2105263157894735</v>
      </c>
      <c r="U34" s="1137">
        <f t="shared" si="2"/>
        <v>102.44333235207537</v>
      </c>
      <c r="V34" s="1136">
        <f t="shared" si="3"/>
        <v>3.5585585585585586</v>
      </c>
      <c r="W34" s="1138">
        <f t="shared" si="4"/>
        <v>105.83988921783234</v>
      </c>
      <c r="X34" s="1136"/>
      <c r="Y34" s="1139"/>
      <c r="Z34" s="1139"/>
      <c r="AA34" s="1138"/>
      <c r="AB34" s="1138"/>
      <c r="AC34" s="1140"/>
      <c r="AD34" s="1141"/>
      <c r="AE34" s="1142"/>
      <c r="AF34" s="1143">
        <f t="shared" si="14"/>
        <v>-43028</v>
      </c>
      <c r="AG34" s="1144"/>
      <c r="AH34" s="1145"/>
      <c r="AI34" s="1146" t="str">
        <f t="shared" si="6"/>
        <v xml:space="preserve"> </v>
      </c>
      <c r="AJ34" s="1147"/>
      <c r="AK34" s="1148">
        <f t="shared" si="10"/>
        <v>0</v>
      </c>
      <c r="AL34" s="1148">
        <f t="shared" si="11"/>
        <v>0.52</v>
      </c>
      <c r="AM34" s="1146">
        <f t="shared" si="12"/>
        <v>10</v>
      </c>
      <c r="AN34" s="1303">
        <v>1080</v>
      </c>
    </row>
    <row r="35" spans="1:43" ht="15.75" customHeight="1" x14ac:dyDescent="0.25">
      <c r="A35" s="1178"/>
      <c r="B35" s="1196"/>
      <c r="C35" s="1197"/>
      <c r="D35" s="1198"/>
      <c r="E35" s="1199"/>
      <c r="F35" s="1200"/>
      <c r="G35" s="1201"/>
      <c r="H35" s="1201"/>
      <c r="I35" s="1202"/>
      <c r="J35" s="1203"/>
      <c r="K35" s="1204">
        <f>AVERAGEA(K6:K34)</f>
        <v>75.678571428571431</v>
      </c>
      <c r="L35" s="1204">
        <f>AVERAGEA(L6:L34)</f>
        <v>727.85714285714289</v>
      </c>
      <c r="M35" s="1204">
        <f>AVERAGEA(M6:M34)</f>
        <v>106.12</v>
      </c>
      <c r="N35" s="1204"/>
      <c r="O35" s="1204">
        <f t="shared" ref="O35:V35" si="15">AVERAGEA(O6:O34)</f>
        <v>992.79310344827582</v>
      </c>
      <c r="P35" s="1205">
        <f t="shared" si="15"/>
        <v>365</v>
      </c>
      <c r="Q35" s="1206">
        <f t="shared" si="15"/>
        <v>49.637931034482762</v>
      </c>
      <c r="R35" s="1207">
        <f t="shared" si="15"/>
        <v>1227.0689655172414</v>
      </c>
      <c r="S35" s="1208">
        <f t="shared" si="15"/>
        <v>4.2473246135552909</v>
      </c>
      <c r="T35" s="1208">
        <f t="shared" si="15"/>
        <v>4.1101028433151843</v>
      </c>
      <c r="U35" s="1209">
        <f t="shared" si="15"/>
        <v>100</v>
      </c>
      <c r="V35" s="1208">
        <f t="shared" si="15"/>
        <v>3.3622092623647588</v>
      </c>
      <c r="W35" s="1210"/>
      <c r="X35" s="1094" t="e">
        <f>AVERAGEA(X6:X18)</f>
        <v>#DIV/0!</v>
      </c>
      <c r="Y35" s="1097" t="e">
        <f>AVERAGEA(Y6:Y18)</f>
        <v>#DIV/0!</v>
      </c>
      <c r="Z35" s="1097" t="e">
        <f>AVERAGEA(Z6:Z18)</f>
        <v>#DIV/0!</v>
      </c>
      <c r="AA35" s="1096" t="e">
        <f>AVERAGEA(AA6:AA18)</f>
        <v>#DIV/0!</v>
      </c>
      <c r="AB35" s="1096"/>
      <c r="AC35" s="1098"/>
      <c r="AD35" s="1099"/>
      <c r="AE35" s="1100"/>
      <c r="AF35" s="1101"/>
      <c r="AG35" s="1102"/>
      <c r="AH35" s="1103"/>
      <c r="AI35" s="1104"/>
      <c r="AJ35" s="1105"/>
      <c r="AK35" s="1106"/>
      <c r="AL35" s="1106"/>
      <c r="AM35" s="1104"/>
      <c r="AN35" s="1088"/>
    </row>
    <row r="36" spans="1:43" ht="15.75" customHeight="1" thickBot="1" x14ac:dyDescent="0.25">
      <c r="A36" s="1357" t="s">
        <v>34</v>
      </c>
      <c r="B36" s="1358"/>
      <c r="C36" s="1358"/>
      <c r="D36" s="1358"/>
      <c r="E36" s="1358"/>
      <c r="F36" s="1325"/>
      <c r="G36" s="1325"/>
      <c r="H36" s="1325"/>
      <c r="I36" s="1325"/>
      <c r="J36" s="1325"/>
      <c r="K36" s="1325"/>
      <c r="L36" s="1358"/>
      <c r="M36" s="1358"/>
      <c r="N36" s="1358"/>
      <c r="O36" s="1325"/>
      <c r="P36" s="1325"/>
      <c r="Q36" s="1325"/>
      <c r="R36" s="1325"/>
      <c r="S36" s="1325"/>
      <c r="T36" s="1325"/>
      <c r="U36" s="1325"/>
      <c r="V36" s="1325"/>
      <c r="W36" s="1325"/>
      <c r="X36" s="687"/>
      <c r="Y36" s="687"/>
      <c r="Z36" s="747"/>
      <c r="AA36" s="747"/>
      <c r="AB36" s="747"/>
      <c r="AC36" s="717"/>
      <c r="AD36" s="33"/>
      <c r="AE36" s="33"/>
      <c r="AF36" s="645"/>
      <c r="AG36" s="74"/>
      <c r="AH36" s="33"/>
      <c r="AI36" s="33"/>
      <c r="AJ36" s="33"/>
      <c r="AK36" s="33"/>
      <c r="AL36" s="33"/>
      <c r="AM36" s="33"/>
      <c r="AN36" s="268"/>
    </row>
    <row r="37" spans="1:43" ht="15.75" customHeight="1" x14ac:dyDescent="0.25">
      <c r="A37" s="891">
        <v>22</v>
      </c>
      <c r="B37" s="892" t="s">
        <v>132</v>
      </c>
      <c r="C37" s="1031" t="s">
        <v>305</v>
      </c>
      <c r="D37" s="907">
        <v>149</v>
      </c>
      <c r="E37" s="908" t="s">
        <v>36</v>
      </c>
      <c r="F37" s="1348"/>
      <c r="G37" s="1344"/>
      <c r="H37" s="1344"/>
      <c r="I37" s="1349"/>
      <c r="J37" s="909">
        <v>43044</v>
      </c>
      <c r="K37" s="910">
        <v>74</v>
      </c>
      <c r="L37" s="911">
        <v>760</v>
      </c>
      <c r="M37" s="912">
        <v>100</v>
      </c>
      <c r="N37" s="910">
        <v>1</v>
      </c>
      <c r="O37" s="1255">
        <v>934</v>
      </c>
      <c r="P37" s="437">
        <f>AH2-J37</f>
        <v>317</v>
      </c>
      <c r="Q37" s="347">
        <v>48</v>
      </c>
      <c r="R37" s="328">
        <v>1120</v>
      </c>
      <c r="S37" s="327">
        <f>IF(AJ$2=0," ",IF(AL$2=0," ",IF(R37=0," ",IF(AN37=0," ",(R37-AN37)/(AL$2)))))</f>
        <v>4.1379310344827589</v>
      </c>
      <c r="T37" s="327">
        <f>IF(R37=0," ",IF(O37=0," ",(R37-O37)/AJ$2))</f>
        <v>3.263157894736842</v>
      </c>
      <c r="U37" s="946">
        <f t="shared" ref="U37:U43" si="16">IF(AJ$2=0," ",IF(T37=0," ",(T37/T$44)*100))</f>
        <v>85.209424083769619</v>
      </c>
      <c r="V37" s="327">
        <f t="shared" ref="V37:V43" si="17">IF(AJ$2=0,O37/P37,R37/P37)</f>
        <v>3.533123028391167</v>
      </c>
      <c r="W37" s="716">
        <f t="shared" ref="W37:W43" si="18">IF(V37=0," ",(V37/V$44)*100)</f>
        <v>100.74671652976031</v>
      </c>
      <c r="X37" s="944"/>
      <c r="Y37" s="944"/>
      <c r="Z37" s="335"/>
      <c r="AA37" s="335"/>
      <c r="AB37" s="335" t="e">
        <f t="shared" ref="AB37:AB43" si="19">(AA37/$AA$44)*100</f>
        <v>#DIV/0!</v>
      </c>
      <c r="AC37" s="718"/>
      <c r="AD37" s="731"/>
      <c r="AE37" s="119"/>
      <c r="AF37" s="647"/>
      <c r="AG37" s="72"/>
      <c r="AH37" s="42"/>
      <c r="AI37" s="40" t="str">
        <f t="shared" ref="AI37:AI43" si="20">IF(AH37="ET","ET",IF(AH37=0," ",J37-AH37))</f>
        <v xml:space="preserve"> </v>
      </c>
      <c r="AJ37" s="17"/>
      <c r="AK37" s="48">
        <f t="shared" ref="AK37:AK43" si="21">IF(AI37="ET",0,IF(AI37=0,0,IF(AI37&lt;761,1.32,IF(AI37&lt;1126,0.74,IF(AI37&lt;1491,0.39,IF(AI37&lt;1856,0.14,IF(AI37&lt;2951,0,IF(AI37&lt;3316,0.08,0))))))))</f>
        <v>0</v>
      </c>
      <c r="AL37" s="48">
        <f t="shared" ref="AL37:AL43" si="22">IF(AI37="ET",0,IF(AI37=0,0,IF(AI37&lt;3316,0,IF(AI37&lt;3681,0.16,IF(AI37&lt;4046,0.26,IF(AI37&lt;4411,0.38,0.52))))))</f>
        <v>0.52</v>
      </c>
      <c r="AM37" s="40">
        <f t="shared" ref="AM37:AM43" si="23">IF(AI37="ET",0,IF(AI37=0," ",IF(AI37&lt;769,79,IF(AI37&lt;982,64,IF(AI37&lt;1164,42,IF(AI37&lt;1347,31,IF(AI37&lt;1712,18,IF(AI37&gt;3536,10,0))))))))</f>
        <v>10</v>
      </c>
      <c r="AN37" s="328">
        <v>1000</v>
      </c>
      <c r="AQ37" s="230"/>
    </row>
    <row r="38" spans="1:43" ht="15.75" customHeight="1" x14ac:dyDescent="0.25">
      <c r="A38" s="891">
        <v>28</v>
      </c>
      <c r="B38" s="892" t="s">
        <v>132</v>
      </c>
      <c r="C38" s="1031" t="s">
        <v>279</v>
      </c>
      <c r="D38" s="907">
        <v>298</v>
      </c>
      <c r="E38" s="908" t="s">
        <v>36</v>
      </c>
      <c r="F38" s="1412"/>
      <c r="G38" s="1413"/>
      <c r="H38" s="1413"/>
      <c r="I38" s="1414"/>
      <c r="J38" s="909">
        <v>43043</v>
      </c>
      <c r="K38" s="910">
        <v>76</v>
      </c>
      <c r="L38" s="914">
        <v>735</v>
      </c>
      <c r="M38" s="912">
        <v>110</v>
      </c>
      <c r="N38" s="1007">
        <v>15</v>
      </c>
      <c r="O38" s="1255">
        <v>848</v>
      </c>
      <c r="P38" s="1249">
        <f>AH2-J38</f>
        <v>318</v>
      </c>
      <c r="Q38" s="349">
        <v>48</v>
      </c>
      <c r="R38" s="1304">
        <v>1095</v>
      </c>
      <c r="S38" s="334">
        <f t="shared" ref="S38:S42" si="24">IF(AJ$2=0," ",IF(AL$2=0," ",IF(R38=0," ",IF(AN38=0," ",(R38-AN38)/(AL$2)))))</f>
        <v>4.4482758620689653</v>
      </c>
      <c r="T38" s="334">
        <f>IF(R38=0," ",IF(O38=0," ",(R38-O38)/AJ$2))</f>
        <v>4.333333333333333</v>
      </c>
      <c r="U38" s="335">
        <f t="shared" si="16"/>
        <v>113.15445026178008</v>
      </c>
      <c r="V38" s="334">
        <f t="shared" si="17"/>
        <v>3.4433962264150941</v>
      </c>
      <c r="W38" s="715">
        <f t="shared" si="18"/>
        <v>98.188164050504682</v>
      </c>
      <c r="X38" s="944"/>
      <c r="Y38" s="944"/>
      <c r="Z38" s="335"/>
      <c r="AA38" s="335"/>
      <c r="AB38" s="335" t="e">
        <f t="shared" si="19"/>
        <v>#DIV/0!</v>
      </c>
      <c r="AC38" s="719"/>
      <c r="AD38" s="732"/>
      <c r="AE38" s="119"/>
      <c r="AF38" s="39"/>
      <c r="AG38" s="72"/>
      <c r="AH38" s="42"/>
      <c r="AI38" s="40" t="str">
        <f t="shared" si="20"/>
        <v xml:space="preserve"> </v>
      </c>
      <c r="AJ38" s="17"/>
      <c r="AK38" s="48">
        <f t="shared" si="21"/>
        <v>0</v>
      </c>
      <c r="AL38" s="48">
        <f t="shared" si="22"/>
        <v>0.52</v>
      </c>
      <c r="AM38" s="40">
        <f t="shared" si="23"/>
        <v>10</v>
      </c>
      <c r="AN38" s="1304">
        <v>966</v>
      </c>
      <c r="AQ38" s="230"/>
    </row>
    <row r="39" spans="1:43" ht="15.75" customHeight="1" x14ac:dyDescent="0.25">
      <c r="A39" s="891">
        <v>29</v>
      </c>
      <c r="B39" s="892" t="s">
        <v>132</v>
      </c>
      <c r="C39" s="1031" t="s">
        <v>324</v>
      </c>
      <c r="D39" s="907">
        <v>318</v>
      </c>
      <c r="E39" s="908" t="s">
        <v>36</v>
      </c>
      <c r="F39" s="1348"/>
      <c r="G39" s="1344"/>
      <c r="H39" s="1344"/>
      <c r="I39" s="1349"/>
      <c r="J39" s="909">
        <v>43045</v>
      </c>
      <c r="K39" s="910">
        <v>82</v>
      </c>
      <c r="L39" s="914">
        <v>709</v>
      </c>
      <c r="M39" s="912">
        <v>106</v>
      </c>
      <c r="N39" s="1007">
        <v>15</v>
      </c>
      <c r="O39" s="1255">
        <v>842</v>
      </c>
      <c r="P39" s="1249">
        <f>AH2-J39</f>
        <v>316</v>
      </c>
      <c r="Q39" s="349">
        <v>46.5</v>
      </c>
      <c r="R39" s="1304">
        <v>1065</v>
      </c>
      <c r="S39" s="334">
        <f t="shared" si="24"/>
        <v>4.0344827586206895</v>
      </c>
      <c r="T39" s="334">
        <f t="shared" ref="T39:T43" si="25">IF(AJ$2=0," ",IF(R39=0," ",IF(O39=0," ",(R39-O39)/AJ$2)))</f>
        <v>3.9122807017543861</v>
      </c>
      <c r="U39" s="335">
        <f t="shared" si="16"/>
        <v>102.15968586387434</v>
      </c>
      <c r="V39" s="334">
        <f t="shared" si="17"/>
        <v>3.3702531645569622</v>
      </c>
      <c r="W39" s="715">
        <f t="shared" si="18"/>
        <v>96.102495575355249</v>
      </c>
      <c r="X39" s="944"/>
      <c r="Y39" s="944"/>
      <c r="Z39" s="335"/>
      <c r="AA39" s="335"/>
      <c r="AB39" s="335" t="e">
        <f t="shared" si="19"/>
        <v>#DIV/0!</v>
      </c>
      <c r="AC39" s="719"/>
      <c r="AD39" s="732"/>
      <c r="AE39" s="119"/>
      <c r="AF39" s="39"/>
      <c r="AG39" s="72"/>
      <c r="AH39" s="42"/>
      <c r="AI39" s="40" t="str">
        <f t="shared" si="20"/>
        <v xml:space="preserve"> </v>
      </c>
      <c r="AJ39" s="17"/>
      <c r="AK39" s="48">
        <f t="shared" si="21"/>
        <v>0</v>
      </c>
      <c r="AL39" s="48">
        <f t="shared" si="22"/>
        <v>0.52</v>
      </c>
      <c r="AM39" s="40">
        <f t="shared" si="23"/>
        <v>10</v>
      </c>
      <c r="AN39" s="1304">
        <v>948</v>
      </c>
      <c r="AQ39" s="230"/>
    </row>
    <row r="40" spans="1:43" ht="15.75" customHeight="1" x14ac:dyDescent="0.25">
      <c r="A40" s="891">
        <v>30</v>
      </c>
      <c r="B40" s="938" t="s">
        <v>132</v>
      </c>
      <c r="C40" s="1123" t="s">
        <v>325</v>
      </c>
      <c r="D40" s="1032">
        <v>348</v>
      </c>
      <c r="E40" s="934" t="s">
        <v>36</v>
      </c>
      <c r="F40" s="1348"/>
      <c r="G40" s="1344"/>
      <c r="H40" s="1344"/>
      <c r="I40" s="1349"/>
      <c r="J40" s="1122">
        <v>43052</v>
      </c>
      <c r="K40" s="1007">
        <v>72</v>
      </c>
      <c r="L40" s="1012">
        <v>745</v>
      </c>
      <c r="M40" s="1011">
        <v>112</v>
      </c>
      <c r="N40" s="1010">
        <v>15</v>
      </c>
      <c r="O40" s="1256">
        <v>833</v>
      </c>
      <c r="P40" s="1250">
        <f>AH2-J40</f>
        <v>309</v>
      </c>
      <c r="Q40" s="1017">
        <v>47.5</v>
      </c>
      <c r="R40" s="1303">
        <v>1060</v>
      </c>
      <c r="S40" s="1035">
        <f t="shared" si="24"/>
        <v>3.9310344827586206</v>
      </c>
      <c r="T40" s="1035">
        <f t="shared" si="25"/>
        <v>3.9824561403508771</v>
      </c>
      <c r="U40" s="948">
        <f t="shared" si="16"/>
        <v>103.99214659685863</v>
      </c>
      <c r="V40" s="1035">
        <f t="shared" si="17"/>
        <v>3.4304207119741101</v>
      </c>
      <c r="W40" s="943">
        <f t="shared" si="18"/>
        <v>97.818168308859384</v>
      </c>
      <c r="X40" s="944"/>
      <c r="Y40" s="944"/>
      <c r="Z40" s="335"/>
      <c r="AA40" s="335"/>
      <c r="AB40" s="335" t="e">
        <f t="shared" si="19"/>
        <v>#DIV/0!</v>
      </c>
      <c r="AC40" s="719"/>
      <c r="AD40" s="732"/>
      <c r="AE40" s="119"/>
      <c r="AF40" s="39"/>
      <c r="AG40" s="72"/>
      <c r="AH40" s="42"/>
      <c r="AI40" s="40" t="str">
        <f t="shared" si="20"/>
        <v xml:space="preserve"> </v>
      </c>
      <c r="AJ40" s="17"/>
      <c r="AK40" s="48">
        <f t="shared" si="21"/>
        <v>0</v>
      </c>
      <c r="AL40" s="48">
        <f t="shared" si="22"/>
        <v>0.52</v>
      </c>
      <c r="AM40" s="40">
        <f t="shared" si="23"/>
        <v>10</v>
      </c>
      <c r="AN40" s="1303">
        <v>946</v>
      </c>
      <c r="AQ40" s="230"/>
    </row>
    <row r="41" spans="1:43" ht="15.75" customHeight="1" x14ac:dyDescent="0.25">
      <c r="A41" s="891">
        <v>33</v>
      </c>
      <c r="B41" s="938" t="s">
        <v>132</v>
      </c>
      <c r="C41" s="1123" t="s">
        <v>326</v>
      </c>
      <c r="D41" s="1032" t="s">
        <v>327</v>
      </c>
      <c r="E41" s="934" t="s">
        <v>36</v>
      </c>
      <c r="F41" s="1354"/>
      <c r="G41" s="1355"/>
      <c r="H41" s="1355"/>
      <c r="I41" s="1356"/>
      <c r="J41" s="1122">
        <v>43056</v>
      </c>
      <c r="K41" s="1007"/>
      <c r="L41" s="1012">
        <v>682</v>
      </c>
      <c r="M41" s="1011">
        <v>108</v>
      </c>
      <c r="N41" s="1010"/>
      <c r="O41" s="1256">
        <v>924</v>
      </c>
      <c r="P41" s="1250">
        <f>AH2-J41</f>
        <v>305</v>
      </c>
      <c r="Q41" s="1017">
        <v>48</v>
      </c>
      <c r="R41" s="1303">
        <v>1155</v>
      </c>
      <c r="S41" s="1035">
        <f t="shared" si="24"/>
        <v>3.9655172413793105</v>
      </c>
      <c r="T41" s="1035">
        <f t="shared" si="25"/>
        <v>4.0526315789473681</v>
      </c>
      <c r="U41" s="948">
        <f t="shared" si="16"/>
        <v>105.82460732984291</v>
      </c>
      <c r="V41" s="1035">
        <f t="shared" si="17"/>
        <v>3.7868852459016393</v>
      </c>
      <c r="W41" s="943">
        <f t="shared" si="18"/>
        <v>107.98272557559656</v>
      </c>
      <c r="X41" s="944"/>
      <c r="Y41" s="944"/>
      <c r="Z41" s="335"/>
      <c r="AA41" s="335"/>
      <c r="AB41" s="335" t="e">
        <f t="shared" si="19"/>
        <v>#DIV/0!</v>
      </c>
      <c r="AC41" s="719"/>
      <c r="AD41" s="732"/>
      <c r="AE41" s="119"/>
      <c r="AF41" s="39"/>
      <c r="AG41" s="72"/>
      <c r="AH41" s="42"/>
      <c r="AI41" s="40" t="str">
        <f t="shared" si="20"/>
        <v xml:space="preserve"> </v>
      </c>
      <c r="AJ41" s="17"/>
      <c r="AK41" s="48">
        <f t="shared" si="21"/>
        <v>0</v>
      </c>
      <c r="AL41" s="48">
        <f t="shared" si="22"/>
        <v>0.52</v>
      </c>
      <c r="AM41" s="40">
        <f t="shared" si="23"/>
        <v>10</v>
      </c>
      <c r="AN41" s="1303">
        <v>1040</v>
      </c>
      <c r="AQ41" s="230"/>
    </row>
    <row r="42" spans="1:43" ht="15.75" customHeight="1" x14ac:dyDescent="0.25">
      <c r="A42" s="891">
        <v>37</v>
      </c>
      <c r="B42" s="892" t="s">
        <v>132</v>
      </c>
      <c r="C42" s="1031" t="s">
        <v>330</v>
      </c>
      <c r="D42" s="907" t="s">
        <v>331</v>
      </c>
      <c r="E42" s="908" t="s">
        <v>36</v>
      </c>
      <c r="F42" s="1348"/>
      <c r="G42" s="1344"/>
      <c r="H42" s="1344"/>
      <c r="I42" s="1349"/>
      <c r="J42" s="909">
        <v>43070</v>
      </c>
      <c r="K42" s="910">
        <v>68</v>
      </c>
      <c r="L42" s="1009">
        <v>697</v>
      </c>
      <c r="M42" s="1008">
        <v>107</v>
      </c>
      <c r="N42" s="1007">
        <v>43</v>
      </c>
      <c r="O42" s="1255">
        <v>804</v>
      </c>
      <c r="P42" s="1249">
        <f>AH2-J42</f>
        <v>291</v>
      </c>
      <c r="Q42" s="349">
        <v>47</v>
      </c>
      <c r="R42" s="1304">
        <v>988</v>
      </c>
      <c r="S42" s="334">
        <f t="shared" si="24"/>
        <v>3.2413793103448274</v>
      </c>
      <c r="T42" s="334">
        <f t="shared" si="25"/>
        <v>3.2280701754385963</v>
      </c>
      <c r="U42" s="335">
        <f t="shared" si="16"/>
        <v>84.293193717277475</v>
      </c>
      <c r="V42" s="334">
        <f t="shared" si="17"/>
        <v>3.395189003436426</v>
      </c>
      <c r="W42" s="715">
        <f t="shared" si="18"/>
        <v>96.813538998081754</v>
      </c>
      <c r="X42" s="944"/>
      <c r="Y42" s="944"/>
      <c r="Z42" s="335"/>
      <c r="AA42" s="335"/>
      <c r="AB42" s="335" t="e">
        <f t="shared" si="19"/>
        <v>#DIV/0!</v>
      </c>
      <c r="AC42" s="719"/>
      <c r="AD42" s="732"/>
      <c r="AE42" s="119"/>
      <c r="AF42" s="39"/>
      <c r="AG42" s="72"/>
      <c r="AH42" s="42"/>
      <c r="AI42" s="40" t="str">
        <f t="shared" si="20"/>
        <v xml:space="preserve"> </v>
      </c>
      <c r="AJ42" s="17"/>
      <c r="AK42" s="48">
        <f t="shared" si="21"/>
        <v>0</v>
      </c>
      <c r="AL42" s="48">
        <f t="shared" si="22"/>
        <v>0.52</v>
      </c>
      <c r="AM42" s="40">
        <f t="shared" si="23"/>
        <v>10</v>
      </c>
      <c r="AN42" s="1304">
        <v>894</v>
      </c>
      <c r="AQ42" s="230"/>
    </row>
    <row r="43" spans="1:43" ht="15.75" customHeight="1" x14ac:dyDescent="0.25">
      <c r="A43" s="891">
        <v>38</v>
      </c>
      <c r="B43" s="892" t="s">
        <v>132</v>
      </c>
      <c r="C43" s="1031" t="s">
        <v>332</v>
      </c>
      <c r="D43" s="907" t="s">
        <v>333</v>
      </c>
      <c r="E43" s="908" t="s">
        <v>36</v>
      </c>
      <c r="F43" s="1348"/>
      <c r="G43" s="1344"/>
      <c r="H43" s="1344"/>
      <c r="I43" s="1349"/>
      <c r="J43" s="909">
        <v>43081</v>
      </c>
      <c r="K43" s="910">
        <v>72</v>
      </c>
      <c r="L43" s="1009">
        <v>707</v>
      </c>
      <c r="M43" s="1008">
        <v>108</v>
      </c>
      <c r="N43" s="1007">
        <v>43</v>
      </c>
      <c r="O43" s="1255">
        <v>775</v>
      </c>
      <c r="P43" s="1249">
        <f>AH2-J43</f>
        <v>280</v>
      </c>
      <c r="Q43" s="349">
        <v>47</v>
      </c>
      <c r="R43" s="1304">
        <v>1005</v>
      </c>
      <c r="S43" s="334">
        <f>IF(AJ$2=0," ",IF(AL$2=0," ",IF(R43=0," ",IF(AN43=0," ",(R43-AN43)/(AL$2)))))</f>
        <v>3.6896551724137931</v>
      </c>
      <c r="T43" s="334">
        <f t="shared" si="25"/>
        <v>4.0350877192982457</v>
      </c>
      <c r="U43" s="335">
        <f t="shared" si="16"/>
        <v>105.36649214659685</v>
      </c>
      <c r="V43" s="334">
        <f t="shared" si="17"/>
        <v>3.5892857142857144</v>
      </c>
      <c r="W43" s="715">
        <f t="shared" si="18"/>
        <v>102.34819096184211</v>
      </c>
      <c r="X43" s="944"/>
      <c r="Y43" s="944"/>
      <c r="Z43" s="335"/>
      <c r="AA43" s="335"/>
      <c r="AB43" s="335" t="e">
        <f t="shared" si="19"/>
        <v>#DIV/0!</v>
      </c>
      <c r="AC43" s="719"/>
      <c r="AD43" s="732"/>
      <c r="AE43" s="119"/>
      <c r="AF43" s="39"/>
      <c r="AG43" s="72"/>
      <c r="AH43" s="42"/>
      <c r="AI43" s="40" t="str">
        <f t="shared" si="20"/>
        <v xml:space="preserve"> </v>
      </c>
      <c r="AJ43" s="17"/>
      <c r="AK43" s="48">
        <f t="shared" si="21"/>
        <v>0</v>
      </c>
      <c r="AL43" s="48">
        <f t="shared" si="22"/>
        <v>0.52</v>
      </c>
      <c r="AM43" s="40">
        <f t="shared" si="23"/>
        <v>10</v>
      </c>
      <c r="AN43" s="1304">
        <v>898</v>
      </c>
      <c r="AQ43" s="230"/>
    </row>
    <row r="44" spans="1:43" ht="15.75" customHeight="1" x14ac:dyDescent="0.2">
      <c r="A44" s="739"/>
      <c r="B44" s="1211" t="e">
        <f>#REF!</f>
        <v>#REF!</v>
      </c>
      <c r="C44" s="739"/>
      <c r="D44" s="739"/>
      <c r="E44" s="739"/>
      <c r="F44" s="1107"/>
      <c r="G44" s="1109"/>
      <c r="H44" s="1110"/>
      <c r="I44" s="1108"/>
      <c r="J44" s="742"/>
      <c r="K44" s="743">
        <f>AVERAGEA(K37:K43)</f>
        <v>74</v>
      </c>
      <c r="L44" s="743">
        <f>AVERAGEA(L37:L43)</f>
        <v>719.28571428571433</v>
      </c>
      <c r="M44" s="743"/>
      <c r="N44" s="744"/>
      <c r="O44" s="743">
        <f t="shared" ref="O44:T44" si="26">AVERAGEA(O37:O43)</f>
        <v>851.42857142857144</v>
      </c>
      <c r="P44" s="743">
        <f t="shared" si="26"/>
        <v>305.14285714285717</v>
      </c>
      <c r="Q44" s="743">
        <f t="shared" si="26"/>
        <v>47.428571428571431</v>
      </c>
      <c r="R44" s="743">
        <f t="shared" si="26"/>
        <v>1069.7142857142858</v>
      </c>
      <c r="S44" s="745">
        <f t="shared" si="26"/>
        <v>3.9211822660098514</v>
      </c>
      <c r="T44" s="745">
        <f t="shared" si="26"/>
        <v>3.829573934837093</v>
      </c>
      <c r="U44" s="1019">
        <f>AVERAGEA(U37:U43)</f>
        <v>100</v>
      </c>
      <c r="V44" s="1020">
        <f>AVERAGEA(V37:V43)</f>
        <v>3.5069361564230159</v>
      </c>
      <c r="W44" s="1019"/>
      <c r="X44" s="1043" t="e">
        <f>AVERAGEA(X37:X43)</f>
        <v>#DIV/0!</v>
      </c>
      <c r="Y44" s="1043" t="e">
        <f>AVERAGEA(Y37:Y43)</f>
        <v>#DIV/0!</v>
      </c>
      <c r="Z44" s="746" t="e">
        <f>AVERAGEA(Z37:Z43)</f>
        <v>#DIV/0!</v>
      </c>
      <c r="AA44" s="746" t="e">
        <f>AVERAGEA(AA37:AA43)</f>
        <v>#DIV/0!</v>
      </c>
      <c r="AB44" s="751"/>
      <c r="AC44" s="1098"/>
      <c r="AD44" s="1099"/>
      <c r="AE44" s="1100"/>
      <c r="AF44" s="39"/>
      <c r="AG44" s="1102"/>
      <c r="AH44" s="1102"/>
      <c r="AI44" s="1102"/>
      <c r="AJ44" s="1102"/>
      <c r="AK44" s="1102"/>
      <c r="AL44" s="1102"/>
      <c r="AM44" s="1104"/>
      <c r="AN44" s="206"/>
    </row>
    <row r="45" spans="1:43" ht="15.75" customHeight="1" thickBot="1" x14ac:dyDescent="0.25">
      <c r="A45" s="1357" t="s">
        <v>306</v>
      </c>
      <c r="B45" s="1358"/>
      <c r="C45" s="1358"/>
      <c r="D45" s="1358"/>
      <c r="E45" s="1358"/>
      <c r="F45" s="1358"/>
      <c r="G45" s="1358"/>
      <c r="H45" s="1358"/>
      <c r="I45" s="1358"/>
      <c r="J45" s="1325"/>
      <c r="K45" s="1325"/>
      <c r="L45" s="1325"/>
      <c r="M45" s="1325"/>
      <c r="N45" s="1325"/>
      <c r="O45" s="1325"/>
      <c r="P45" s="1325"/>
      <c r="Q45" s="1325"/>
      <c r="R45" s="1325"/>
      <c r="S45" s="1325"/>
      <c r="T45" s="1325"/>
      <c r="U45" s="1325"/>
      <c r="V45" s="1325"/>
      <c r="W45" s="1325"/>
      <c r="X45" s="687"/>
      <c r="Y45" s="687"/>
      <c r="Z45" s="942"/>
      <c r="AA45" s="942"/>
      <c r="AB45" s="942"/>
      <c r="AC45" s="684"/>
      <c r="AD45" s="684"/>
      <c r="AE45" s="685"/>
      <c r="AF45" s="645"/>
      <c r="AG45" s="276"/>
      <c r="AH45" s="277"/>
      <c r="AI45" s="275"/>
      <c r="AJ45" s="275"/>
      <c r="AK45" s="275"/>
      <c r="AL45" s="275"/>
      <c r="AM45" s="275"/>
      <c r="AN45" s="287"/>
    </row>
    <row r="46" spans="1:43" ht="15.75" customHeight="1" thickBot="1" x14ac:dyDescent="0.3">
      <c r="A46" s="891">
        <v>66</v>
      </c>
      <c r="B46" s="892" t="s">
        <v>356</v>
      </c>
      <c r="C46" s="900" t="s">
        <v>307</v>
      </c>
      <c r="D46" s="907" t="s">
        <v>308</v>
      </c>
      <c r="E46" s="908" t="s">
        <v>36</v>
      </c>
      <c r="F46" s="1359"/>
      <c r="G46" s="1344"/>
      <c r="H46" s="1344"/>
      <c r="I46" s="1349"/>
      <c r="J46" s="915">
        <v>43003</v>
      </c>
      <c r="K46" s="899">
        <v>75</v>
      </c>
      <c r="L46" s="916">
        <v>730</v>
      </c>
      <c r="M46" s="930">
        <v>100</v>
      </c>
      <c r="N46" s="899">
        <v>1</v>
      </c>
      <c r="O46" s="1255">
        <v>1075</v>
      </c>
      <c r="P46" s="437">
        <f>AH2-J46</f>
        <v>358</v>
      </c>
      <c r="Q46" s="347">
        <v>50</v>
      </c>
      <c r="R46" s="946">
        <v>1200</v>
      </c>
      <c r="S46" s="939">
        <f>IF(AJ$2=0," ",IF(AL$2=0," ",IF(AN46=0," ",IF(AN46=0," ",(R46-AN46)/(AL$2)))))</f>
        <v>1.896551724137931</v>
      </c>
      <c r="T46" s="939">
        <f>IF(AJ$2=0," ",IF(R46=0," ",IF(O46=0," ",(R46-O46)/AJ$2)))</f>
        <v>2.192982456140351</v>
      </c>
      <c r="U46" s="946">
        <f>IF(AJ$2=0," ",IF(T46=0," ",(T46/T$48)*100))</f>
        <v>66.666666666666657</v>
      </c>
      <c r="V46" s="939">
        <f>IF(AJ$2=0,O46/P46,R46/P46)</f>
        <v>3.3519553072625698</v>
      </c>
      <c r="W46" s="947">
        <f>IF(V46=0," ",(V46/V$48)*100)</f>
        <v>105.85704040162562</v>
      </c>
      <c r="X46" s="1044"/>
      <c r="Y46" s="1041"/>
      <c r="Z46" s="945"/>
      <c r="AA46" s="945"/>
      <c r="AB46" s="814"/>
      <c r="AC46" s="810"/>
      <c r="AD46" s="704"/>
      <c r="AE46" s="703"/>
      <c r="AF46" s="694">
        <f t="shared" ref="AF46" si="27">+AE46-J46</f>
        <v>-43003</v>
      </c>
      <c r="AG46" s="695"/>
      <c r="AH46" s="689"/>
      <c r="AI46" s="40" t="str">
        <f>IF(AH46="ET","ET",IF(AH46=0," ",J46-AH46))</f>
        <v xml:space="preserve"> </v>
      </c>
      <c r="AJ46" s="17"/>
      <c r="AK46" s="48"/>
      <c r="AL46" s="48"/>
      <c r="AM46" s="49">
        <f>IF(AI46="ET",0,IF(AI46=0," ",IF(AI46&lt;1004,60,IF(AI46&lt;1339,40,IF(AI46&lt;1704,20,IF(AI46&lt;3927,0,20))))))</f>
        <v>20</v>
      </c>
      <c r="AN46" s="946">
        <v>1145</v>
      </c>
    </row>
    <row r="47" spans="1:43" ht="15.75" customHeight="1" thickBot="1" x14ac:dyDescent="0.3">
      <c r="A47" s="891">
        <v>76</v>
      </c>
      <c r="B47" s="892" t="s">
        <v>132</v>
      </c>
      <c r="C47" s="900" t="s">
        <v>339</v>
      </c>
      <c r="D47" s="907" t="s">
        <v>340</v>
      </c>
      <c r="E47" s="908" t="s">
        <v>36</v>
      </c>
      <c r="F47" s="1359"/>
      <c r="G47" s="1344"/>
      <c r="H47" s="1344"/>
      <c r="I47" s="1349"/>
      <c r="J47" s="915">
        <v>42992</v>
      </c>
      <c r="K47" s="899">
        <v>71</v>
      </c>
      <c r="L47" s="916">
        <v>620</v>
      </c>
      <c r="M47" s="930">
        <v>100</v>
      </c>
      <c r="N47" s="899">
        <v>1</v>
      </c>
      <c r="O47" s="1255">
        <v>850</v>
      </c>
      <c r="P47" s="437">
        <f>AH2-J47</f>
        <v>369</v>
      </c>
      <c r="Q47" s="347">
        <v>48</v>
      </c>
      <c r="R47" s="946">
        <v>1100</v>
      </c>
      <c r="S47" s="939">
        <f>IF(AJ$2=0," ",IF(AL$2=0," ",IF(AN47=0," ",IF(AN47=0," ",(R47-AN47)/(AL$2)))))</f>
        <v>5.1034482758620694</v>
      </c>
      <c r="T47" s="939">
        <f>IF(AJ$2=0," ",IF(R47=0," ",IF(O47=0," ",(R47-O47)/AJ$2)))</f>
        <v>4.3859649122807021</v>
      </c>
      <c r="U47" s="946">
        <f>IF(AJ$2=0," ",IF(T47=0," ",(T47/T$48)*100))</f>
        <v>133.33333333333331</v>
      </c>
      <c r="V47" s="939">
        <f t="shared" ref="V47" si="28">IF(AJ$2=0,O47/P47,R47/P47)</f>
        <v>2.9810298102981028</v>
      </c>
      <c r="W47" s="947">
        <f>IF(V47=0," ",(V47/V$48)*100)</f>
        <v>94.142959598374361</v>
      </c>
      <c r="X47" s="1044"/>
      <c r="Y47" s="1041"/>
      <c r="Z47" s="945"/>
      <c r="AA47" s="945"/>
      <c r="AB47" s="814"/>
      <c r="AC47" s="810"/>
      <c r="AD47" s="704"/>
      <c r="AE47" s="703"/>
      <c r="AF47" s="694"/>
      <c r="AG47" s="695"/>
      <c r="AH47" s="689"/>
      <c r="AI47" s="40"/>
      <c r="AJ47" s="17"/>
      <c r="AK47" s="48"/>
      <c r="AL47" s="48"/>
      <c r="AM47" s="49"/>
      <c r="AN47" s="946">
        <v>952</v>
      </c>
    </row>
    <row r="48" spans="1:43" ht="15.75" customHeight="1" thickBot="1" x14ac:dyDescent="0.3">
      <c r="A48" s="1178"/>
      <c r="B48" s="1179"/>
      <c r="C48" s="1180"/>
      <c r="D48" s="1181"/>
      <c r="E48" s="1182"/>
      <c r="F48" s="1360"/>
      <c r="G48" s="1361"/>
      <c r="H48" s="1361"/>
      <c r="I48" s="1362"/>
      <c r="J48" s="1183"/>
      <c r="K48" s="1184">
        <f>AVERAGEA(K46:K47)</f>
        <v>73</v>
      </c>
      <c r="L48" s="1185">
        <f>AVERAGEA(L46:L47)</f>
        <v>675</v>
      </c>
      <c r="M48" s="1186"/>
      <c r="N48" s="1184"/>
      <c r="O48" s="1187"/>
      <c r="P48" s="1193">
        <f>AVERAGEA(P46:P47)</f>
        <v>363.5</v>
      </c>
      <c r="Q48" s="1194"/>
      <c r="R48" s="1293">
        <f>AVERAGEA(R46:R47)</f>
        <v>1150</v>
      </c>
      <c r="S48" s="1191">
        <f>AVERAGE(S46:S47)</f>
        <v>3.5</v>
      </c>
      <c r="T48" s="1191">
        <f>(T46+T47)/2</f>
        <v>3.2894736842105265</v>
      </c>
      <c r="U48" s="1028">
        <f>AVERAGEA(U46:U47)</f>
        <v>99.999999999999986</v>
      </c>
      <c r="V48" s="1191">
        <f>AVERAGEA(V46:V47)</f>
        <v>3.1664925587803365</v>
      </c>
      <c r="W48" s="1195">
        <f>IF(V48=0," ",(V48/V$48)*100)</f>
        <v>100</v>
      </c>
      <c r="X48" s="1044"/>
      <c r="Y48" s="1041"/>
      <c r="Z48" s="945"/>
      <c r="AA48" s="945"/>
      <c r="AB48" s="814"/>
      <c r="AC48" s="810"/>
      <c r="AD48" s="704"/>
      <c r="AE48" s="703"/>
      <c r="AF48" s="694"/>
      <c r="AG48" s="695"/>
      <c r="AH48" s="689"/>
      <c r="AI48" s="40"/>
      <c r="AJ48" s="17"/>
      <c r="AK48" s="48"/>
      <c r="AL48" s="48"/>
      <c r="AM48" s="49"/>
      <c r="AN48" s="981"/>
    </row>
    <row r="49" spans="1:43" s="546" customFormat="1" ht="15.75" customHeight="1" thickBot="1" x14ac:dyDescent="0.3">
      <c r="A49" s="1324" t="s">
        <v>239</v>
      </c>
      <c r="B49" s="1325"/>
      <c r="C49" s="1325"/>
      <c r="D49" s="1325"/>
      <c r="E49" s="1325"/>
      <c r="F49" s="1325"/>
      <c r="G49" s="1325"/>
      <c r="H49" s="1325"/>
      <c r="I49" s="1325"/>
      <c r="J49" s="1325"/>
      <c r="K49" s="1325"/>
      <c r="L49" s="1325"/>
      <c r="M49" s="1325"/>
      <c r="N49" s="1325"/>
      <c r="O49" s="1325"/>
      <c r="P49" s="1325"/>
      <c r="Q49" s="1325"/>
      <c r="R49" s="1325"/>
      <c r="S49" s="1325"/>
      <c r="T49" s="1325"/>
      <c r="U49" s="1325"/>
      <c r="V49" s="1325"/>
      <c r="W49" s="1325"/>
      <c r="X49" s="687"/>
      <c r="Y49" s="687"/>
      <c r="Z49" s="747"/>
      <c r="AA49" s="747"/>
      <c r="AB49" s="747"/>
      <c r="AC49" s="684"/>
      <c r="AD49" s="684"/>
      <c r="AE49" s="685"/>
      <c r="AF49" s="645"/>
      <c r="AG49" s="276"/>
      <c r="AH49" s="277"/>
      <c r="AI49" s="275"/>
      <c r="AJ49" s="275"/>
      <c r="AK49" s="275"/>
      <c r="AL49" s="275"/>
      <c r="AM49" s="275"/>
      <c r="AN49" s="981"/>
    </row>
    <row r="50" spans="1:43" ht="15.75" customHeight="1" thickBot="1" x14ac:dyDescent="0.3">
      <c r="A50" s="891">
        <v>72</v>
      </c>
      <c r="B50" s="892" t="s">
        <v>131</v>
      </c>
      <c r="C50" s="900" t="s">
        <v>318</v>
      </c>
      <c r="D50" s="907">
        <v>790</v>
      </c>
      <c r="E50" s="908" t="s">
        <v>36</v>
      </c>
      <c r="F50" s="1348"/>
      <c r="G50" s="1344"/>
      <c r="H50" s="1344"/>
      <c r="I50" s="1349"/>
      <c r="J50" s="915">
        <v>42981</v>
      </c>
      <c r="K50" s="899">
        <v>68</v>
      </c>
      <c r="L50" s="916">
        <v>655</v>
      </c>
      <c r="M50" s="930">
        <v>100</v>
      </c>
      <c r="N50" s="899">
        <v>1</v>
      </c>
      <c r="O50" s="913">
        <v>1052</v>
      </c>
      <c r="P50" s="346">
        <f>AH2-J50</f>
        <v>380</v>
      </c>
      <c r="Q50" s="347">
        <v>52</v>
      </c>
      <c r="R50" s="328">
        <v>1230</v>
      </c>
      <c r="S50" s="327">
        <f>IF(AJ$2=0," ",IF(AL$2=0," ",IF(AN50=0," ",IF(AN50=0," ",(R50-AN50)/(AL$2)))))</f>
        <v>2.5862068965517242</v>
      </c>
      <c r="T50" s="327">
        <f>IF(AJ$2=0," ",IF(R50=0," ",IF(O50=0," ",(R50-O50)/AJ$2)))</f>
        <v>3.1228070175438596</v>
      </c>
      <c r="U50" s="328">
        <f>IF(AJ$2=0," ",IF(T50=0," ",(T50/T$51)*100))</f>
        <v>100</v>
      </c>
      <c r="V50" s="327">
        <f>IF(AJ$2=0,O50/P50,R50/P50)</f>
        <v>3.236842105263158</v>
      </c>
      <c r="W50" s="716">
        <f>IF(V50=0," ",(V50/V$51)*100)</f>
        <v>100</v>
      </c>
      <c r="X50" s="1044"/>
      <c r="Y50" s="1041"/>
      <c r="Z50" s="1041"/>
      <c r="AA50" s="945"/>
      <c r="AB50" s="814"/>
      <c r="AC50" s="810"/>
      <c r="AD50" s="704"/>
      <c r="AE50" s="703"/>
      <c r="AF50" s="694">
        <f t="shared" ref="AF50" si="29">+AE50-J50</f>
        <v>-42981</v>
      </c>
      <c r="AG50" s="695"/>
      <c r="AH50" s="689"/>
      <c r="AI50" s="40" t="str">
        <f>IF(AH50="ET","ET",IF(AH50=0," ",J50-AH50))</f>
        <v xml:space="preserve"> </v>
      </c>
      <c r="AJ50" s="17"/>
      <c r="AK50" s="48"/>
      <c r="AL50" s="48"/>
      <c r="AM50" s="49">
        <f>IF(AI50="ET",0,IF(AI50=0," ",IF(AI50&lt;1004,60,IF(AI50&lt;1339,40,IF(AI50&lt;1704,20,IF(AI50&lt;3927,0,20))))))</f>
        <v>20</v>
      </c>
      <c r="AN50" s="1258">
        <v>1155</v>
      </c>
      <c r="AO50" s="287"/>
    </row>
    <row r="51" spans="1:43" ht="15.75" customHeight="1" thickBot="1" x14ac:dyDescent="0.25">
      <c r="A51" s="310"/>
      <c r="B51" s="311">
        <f>COUNTA(A50:A50)</f>
        <v>1</v>
      </c>
      <c r="C51" s="376"/>
      <c r="D51" s="312"/>
      <c r="E51" s="337"/>
      <c r="F51" s="338"/>
      <c r="G51" s="1109"/>
      <c r="H51" s="1121"/>
      <c r="I51" s="1120"/>
      <c r="J51" s="313"/>
      <c r="K51" s="314">
        <f>AVERAGEA(K50:K50)</f>
        <v>68</v>
      </c>
      <c r="L51" s="314">
        <f>AVERAGEA(L50:L50)</f>
        <v>655</v>
      </c>
      <c r="M51" s="300">
        <f>AVERAGEA(M50:M50)</f>
        <v>100</v>
      </c>
      <c r="N51" s="315"/>
      <c r="O51" s="316">
        <f t="shared" ref="O51:T51" si="30">AVERAGEA(O50:O50)</f>
        <v>1052</v>
      </c>
      <c r="P51" s="297">
        <f t="shared" si="30"/>
        <v>380</v>
      </c>
      <c r="Q51" s="342">
        <f t="shared" si="30"/>
        <v>52</v>
      </c>
      <c r="R51" s="343">
        <f t="shared" si="30"/>
        <v>1230</v>
      </c>
      <c r="S51" s="317">
        <f t="shared" si="30"/>
        <v>2.5862068965517242</v>
      </c>
      <c r="T51" s="317">
        <f t="shared" si="30"/>
        <v>3.1228070175438596</v>
      </c>
      <c r="U51" s="1021">
        <f>AVERAGEA(U50:U50)</f>
        <v>100</v>
      </c>
      <c r="V51" s="317">
        <f>AVERAGEA(V50:V50)</f>
        <v>3.236842105263158</v>
      </c>
      <c r="W51" s="1022"/>
      <c r="X51" s="1045"/>
      <c r="Y51" s="1045" t="e">
        <f>AVERAGEA(#REF!)</f>
        <v>#REF!</v>
      </c>
      <c r="Z51" s="799" t="e">
        <f>AVERAGEA(#REF!)</f>
        <v>#REF!</v>
      </c>
      <c r="AA51" s="799" t="e">
        <f>AVERAGEA(AA50:AA50)</f>
        <v>#DIV/0!</v>
      </c>
      <c r="AB51" s="751"/>
      <c r="AC51" s="701"/>
      <c r="AD51" s="701"/>
      <c r="AE51" s="698"/>
      <c r="AF51" s="645"/>
      <c r="AG51" s="543"/>
      <c r="AH51" s="544"/>
      <c r="AI51" s="542"/>
      <c r="AJ51" s="542"/>
      <c r="AK51" s="542"/>
      <c r="AL51" s="542"/>
      <c r="AM51" s="542"/>
      <c r="AN51" s="828"/>
    </row>
    <row r="52" spans="1:43" ht="15.75" customHeight="1" thickBot="1" x14ac:dyDescent="0.25">
      <c r="A52" s="1324" t="s">
        <v>44</v>
      </c>
      <c r="B52" s="1325"/>
      <c r="C52" s="1325"/>
      <c r="D52" s="1325"/>
      <c r="E52" s="1325"/>
      <c r="F52" s="1325"/>
      <c r="G52" s="1325"/>
      <c r="H52" s="1325"/>
      <c r="I52" s="1325"/>
      <c r="J52" s="1325"/>
      <c r="K52" s="1325"/>
      <c r="L52" s="1325"/>
      <c r="M52" s="1325"/>
      <c r="N52" s="1325"/>
      <c r="O52" s="1325"/>
      <c r="P52" s="1325"/>
      <c r="Q52" s="1325"/>
      <c r="R52" s="1325"/>
      <c r="S52" s="1325"/>
      <c r="T52" s="1325"/>
      <c r="U52" s="1325"/>
      <c r="V52" s="1325"/>
      <c r="W52" s="1325"/>
      <c r="X52" s="687"/>
      <c r="Y52" s="687"/>
      <c r="Z52" s="747"/>
      <c r="AA52" s="747"/>
      <c r="AB52" s="747"/>
      <c r="AC52" s="687"/>
      <c r="AD52" s="684"/>
      <c r="AE52" s="685"/>
      <c r="AF52" s="645"/>
      <c r="AG52" s="686"/>
      <c r="AH52" s="276"/>
      <c r="AI52" s="277"/>
      <c r="AJ52" s="275"/>
      <c r="AK52" s="275"/>
      <c r="AL52" s="275"/>
      <c r="AM52" s="275"/>
      <c r="AN52" s="828"/>
    </row>
    <row r="53" spans="1:43" ht="16.5" thickBot="1" x14ac:dyDescent="0.3">
      <c r="A53" s="891">
        <v>70</v>
      </c>
      <c r="B53" s="892" t="s">
        <v>132</v>
      </c>
      <c r="C53" s="933" t="s">
        <v>314</v>
      </c>
      <c r="D53" s="917" t="s">
        <v>315</v>
      </c>
      <c r="E53" s="918" t="s">
        <v>36</v>
      </c>
      <c r="F53" s="1400"/>
      <c r="G53" s="1401"/>
      <c r="H53" s="1401"/>
      <c r="I53" s="1402"/>
      <c r="J53" s="919">
        <v>42996</v>
      </c>
      <c r="K53" s="906">
        <v>72</v>
      </c>
      <c r="L53" s="929">
        <v>602</v>
      </c>
      <c r="M53" s="930"/>
      <c r="N53" s="928"/>
      <c r="O53" s="1296">
        <v>917</v>
      </c>
      <c r="P53" s="325">
        <f>AH2-J53</f>
        <v>365</v>
      </c>
      <c r="Q53" s="326">
        <v>49</v>
      </c>
      <c r="R53" s="946">
        <v>1105</v>
      </c>
      <c r="S53" s="939">
        <f>IF(AJ$2=0," ",IF(AL$2=0," ",IF(AN68=0," ",IF(AN68=0," ",(R68-AN68)/(AL$2)))))</f>
        <v>3.4482758620689653</v>
      </c>
      <c r="T53" s="939">
        <f>IF(AJ$2=0," ",IF(R53=0," ",IF(O53=0," ",(R53-O53)/AJ$2)))</f>
        <v>3.2982456140350878</v>
      </c>
      <c r="U53" s="946">
        <f>IF(AJ$2=0," ",IF(T53=0," ",(T53/T$55)*100))</f>
        <v>98.172323759791126</v>
      </c>
      <c r="V53" s="939">
        <f>IF(AJ$2=0,O53/P53,R53/P53)</f>
        <v>3.0273972602739727</v>
      </c>
      <c r="W53" s="949">
        <f>IF(V53=0," ",(V53/V$55)*100)</f>
        <v>101.32912818202297</v>
      </c>
      <c r="X53" s="1061"/>
      <c r="Y53" s="1046"/>
      <c r="Z53" s="1040"/>
      <c r="AA53" s="755"/>
      <c r="AB53" s="335"/>
      <c r="AC53" s="714">
        <f>T53+V53</f>
        <v>6.3256428743090609</v>
      </c>
      <c r="AD53" s="704"/>
      <c r="AE53" s="703"/>
      <c r="AF53" s="694"/>
      <c r="AG53" s="695"/>
      <c r="AH53" s="689"/>
      <c r="AI53" s="40" t="str">
        <f>IF(AH53="ET","ET",IF(AH53=0," ",J53-AH53))</f>
        <v xml:space="preserve"> </v>
      </c>
      <c r="AJ53" s="17"/>
      <c r="AK53" s="48"/>
      <c r="AL53" s="48"/>
      <c r="AM53" s="49">
        <f>IF(AI53="ET",0,IF(AI53=0," ",IF(AI53&lt;1004,60,IF(AI53&lt;1339,40,IF(AI53&lt;1704,20,IF(AI53&lt;3927,0,20))))))</f>
        <v>20</v>
      </c>
      <c r="AN53" s="946">
        <v>1015</v>
      </c>
    </row>
    <row r="54" spans="1:43" ht="16.5" thickBot="1" x14ac:dyDescent="0.3">
      <c r="A54" s="1067">
        <v>71</v>
      </c>
      <c r="B54" s="892" t="s">
        <v>132</v>
      </c>
      <c r="C54" s="933" t="s">
        <v>316</v>
      </c>
      <c r="D54" s="917" t="s">
        <v>317</v>
      </c>
      <c r="E54" s="918" t="s">
        <v>36</v>
      </c>
      <c r="F54" s="1400"/>
      <c r="G54" s="1401"/>
      <c r="H54" s="1401"/>
      <c r="I54" s="1402"/>
      <c r="J54" s="919">
        <v>43015</v>
      </c>
      <c r="K54" s="906">
        <v>75</v>
      </c>
      <c r="L54" s="929">
        <v>600</v>
      </c>
      <c r="M54" s="930"/>
      <c r="N54" s="928"/>
      <c r="O54" s="1296">
        <v>825</v>
      </c>
      <c r="P54" s="325">
        <f>AH2-J54</f>
        <v>346</v>
      </c>
      <c r="Q54" s="326">
        <v>49</v>
      </c>
      <c r="R54" s="946">
        <v>1020</v>
      </c>
      <c r="S54" s="939">
        <f>IF(AJ$2=0," ",IF(AL$2=0," ",IF(AN69=0," ",IF(AN69=0," ",(R69-AN69)/(AL$2)))))</f>
        <v>3.103448275862069</v>
      </c>
      <c r="T54" s="939">
        <f t="shared" ref="T54" si="31">IF(AJ$2=0," ",IF(R54=0," ",IF(O54=0," ",(R54-O54)/AJ$2)))</f>
        <v>3.4210526315789473</v>
      </c>
      <c r="U54" s="946">
        <f>IF(AJ$2=0," ",IF(T54=0," ",(T54/T$55)*100))</f>
        <v>101.82767624020887</v>
      </c>
      <c r="V54" s="939">
        <f t="shared" ref="V54" si="32">IF(AJ$2=0,O54/P54,R54/P54)</f>
        <v>2.947976878612717</v>
      </c>
      <c r="W54" s="949">
        <f>IF(V54=0," ",(V54/V$55)*100)</f>
        <v>98.67087181797703</v>
      </c>
      <c r="X54" s="1061"/>
      <c r="Y54" s="1046"/>
      <c r="Z54" s="1040"/>
      <c r="AA54" s="755"/>
      <c r="AB54" s="335"/>
      <c r="AC54" s="714"/>
      <c r="AD54" s="704"/>
      <c r="AE54" s="703"/>
      <c r="AF54" s="694"/>
      <c r="AG54" s="695"/>
      <c r="AH54" s="689"/>
      <c r="AI54" s="40"/>
      <c r="AJ54" s="17"/>
      <c r="AK54" s="48"/>
      <c r="AL54" s="48"/>
      <c r="AM54" s="49"/>
      <c r="AN54" s="946">
        <v>916</v>
      </c>
    </row>
    <row r="55" spans="1:43" ht="15.75" customHeight="1" thickBot="1" x14ac:dyDescent="0.25">
      <c r="A55" s="310"/>
      <c r="B55" s="311">
        <f>COUNTA(B53:B53)</f>
        <v>1</v>
      </c>
      <c r="C55" s="376" t="s">
        <v>42</v>
      </c>
      <c r="D55" s="376"/>
      <c r="E55" s="312" t="s">
        <v>41</v>
      </c>
      <c r="F55" s="338"/>
      <c r="G55" s="1109"/>
      <c r="H55" s="338"/>
      <c r="I55" s="1120"/>
      <c r="J55" s="313" t="s">
        <v>1</v>
      </c>
      <c r="K55" s="339">
        <f>AVERAGEA(K53:K53)</f>
        <v>72</v>
      </c>
      <c r="L55" s="339">
        <f>AVERAGEA(L53:L53)</f>
        <v>602</v>
      </c>
      <c r="M55" s="339" t="e">
        <f>AVERAGEA(M53:M53)</f>
        <v>#DIV/0!</v>
      </c>
      <c r="N55" s="341"/>
      <c r="O55" s="314">
        <f t="shared" ref="O55:S55" si="33">AVERAGEA(O53:O53)</f>
        <v>917</v>
      </c>
      <c r="P55" s="314">
        <f>AVERAGEA(P53:P54)</f>
        <v>355.5</v>
      </c>
      <c r="Q55" s="314">
        <f>AVERAGEA(Q53:Q54)</f>
        <v>49</v>
      </c>
      <c r="R55" s="314">
        <f>AVERAGEA(R53:R54)</f>
        <v>1062.5</v>
      </c>
      <c r="S55" s="888">
        <f t="shared" si="33"/>
        <v>3.4482758620689653</v>
      </c>
      <c r="T55" s="888">
        <f>AVERAGEA(T53:T54)</f>
        <v>3.3596491228070176</v>
      </c>
      <c r="U55" s="1023">
        <f>AVERAGEA(U53:U54)</f>
        <v>100</v>
      </c>
      <c r="V55" s="638">
        <f>AVERAGEA(V53:V54)</f>
        <v>2.9876870694433446</v>
      </c>
      <c r="W55" s="1024"/>
      <c r="X55" s="1047"/>
      <c r="Y55" s="1047"/>
      <c r="Z55" s="756"/>
      <c r="AA55" s="799"/>
      <c r="AB55" s="756"/>
      <c r="AC55" s="684"/>
      <c r="AD55" s="684"/>
      <c r="AE55" s="685"/>
      <c r="AF55" s="645"/>
      <c r="AG55" s="276"/>
      <c r="AH55" s="277"/>
      <c r="AI55" s="275"/>
      <c r="AJ55" s="275"/>
      <c r="AK55" s="275"/>
      <c r="AL55" s="275"/>
      <c r="AM55" s="220"/>
      <c r="AN55" s="1066"/>
    </row>
    <row r="56" spans="1:43" s="546" customFormat="1" ht="15.75" customHeight="1" thickBot="1" x14ac:dyDescent="0.25">
      <c r="A56" s="1324" t="s">
        <v>238</v>
      </c>
      <c r="B56" s="1325"/>
      <c r="C56" s="1325"/>
      <c r="D56" s="1325"/>
      <c r="E56" s="1325"/>
      <c r="F56" s="1325"/>
      <c r="G56" s="1325"/>
      <c r="H56" s="1325"/>
      <c r="I56" s="1325"/>
      <c r="J56" s="1325"/>
      <c r="K56" s="1325"/>
      <c r="L56" s="1325"/>
      <c r="M56" s="1325"/>
      <c r="N56" s="1325"/>
      <c r="O56" s="1325"/>
      <c r="P56" s="1325"/>
      <c r="Q56" s="1325"/>
      <c r="R56" s="1325"/>
      <c r="S56" s="1325"/>
      <c r="T56" s="1325"/>
      <c r="U56" s="1325"/>
      <c r="V56" s="1325"/>
      <c r="W56" s="1325"/>
      <c r="X56" s="687"/>
      <c r="Y56" s="687"/>
      <c r="Z56" s="942"/>
      <c r="AA56" s="942"/>
      <c r="AB56" s="942"/>
      <c r="AC56" s="687"/>
      <c r="AD56" s="684"/>
      <c r="AE56" s="685"/>
      <c r="AF56" s="645"/>
      <c r="AG56" s="686"/>
      <c r="AH56" s="276"/>
      <c r="AI56" s="277"/>
      <c r="AJ56" s="275"/>
      <c r="AK56" s="275"/>
      <c r="AL56" s="275"/>
      <c r="AM56" s="275"/>
      <c r="AN56" s="1066"/>
    </row>
    <row r="57" spans="1:43" ht="15.75" customHeight="1" thickBot="1" x14ac:dyDescent="0.3">
      <c r="A57" s="891">
        <v>79</v>
      </c>
      <c r="B57" s="892" t="s">
        <v>132</v>
      </c>
      <c r="C57" s="933" t="s">
        <v>346</v>
      </c>
      <c r="D57" s="917" t="s">
        <v>347</v>
      </c>
      <c r="E57" s="918" t="s">
        <v>36</v>
      </c>
      <c r="F57" s="1397"/>
      <c r="G57" s="1398"/>
      <c r="H57" s="1398"/>
      <c r="I57" s="1399"/>
      <c r="J57" s="919">
        <v>43041</v>
      </c>
      <c r="K57" s="906">
        <v>77</v>
      </c>
      <c r="L57" s="920">
        <v>750</v>
      </c>
      <c r="M57" s="921">
        <v>104</v>
      </c>
      <c r="N57" s="899">
        <v>2</v>
      </c>
      <c r="O57" s="913">
        <v>985</v>
      </c>
      <c r="P57" s="325">
        <f>AH2-J57</f>
        <v>320</v>
      </c>
      <c r="Q57" s="326">
        <v>50.5</v>
      </c>
      <c r="R57" s="946">
        <v>1195</v>
      </c>
      <c r="S57" s="939">
        <f>IF(AJ$2=0," ",IF(AL$2=0," ",IF(AN57=0," ",IF(AN57=0," ",(R57-AN57)/(AL$2)))))</f>
        <v>4.4827586206896548</v>
      </c>
      <c r="T57" s="327">
        <f>IF(AJ$2=0," ",IF(R57=0," ",IF(O57=0," ",(R57-O57)/AJ$2)))</f>
        <v>3.6842105263157894</v>
      </c>
      <c r="U57" s="328">
        <f>IF(AJ$2=0," ",IF(T57=0," ",(T57/T$57)*100))</f>
        <v>100</v>
      </c>
      <c r="V57" s="327">
        <f>IF(AJ$2=0,O57/P57,R57/P57)</f>
        <v>3.734375</v>
      </c>
      <c r="W57" s="329">
        <f>IF(V57=0," ",(V57/V$57)*100)</f>
        <v>100</v>
      </c>
      <c r="X57" s="1061"/>
      <c r="Y57" s="1046"/>
      <c r="Z57" s="755"/>
      <c r="AA57" s="755"/>
      <c r="AB57" s="335"/>
      <c r="AC57" s="714">
        <f>T57+V57</f>
        <v>7.4185855263157894</v>
      </c>
      <c r="AD57" s="704"/>
      <c r="AE57" s="703"/>
      <c r="AF57" s="694"/>
      <c r="AG57" s="695"/>
      <c r="AH57" s="689"/>
      <c r="AI57" s="40" t="str">
        <f>IF(AH57="ET","ET",IF(AH57=0," ",J57-AH57))</f>
        <v xml:space="preserve"> </v>
      </c>
      <c r="AJ57" s="17"/>
      <c r="AK57" s="48"/>
      <c r="AL57" s="48"/>
      <c r="AM57" s="49">
        <f>IF(AI57="ET",0,IF(AI57=0," ",IF(AI57&lt;1004,60,IF(AI57&lt;1339,40,IF(AI57&lt;1704,20,IF(AI57&lt;3927,0,20))))))</f>
        <v>20</v>
      </c>
      <c r="AN57" s="1294">
        <v>1065</v>
      </c>
    </row>
    <row r="58" spans="1:43" ht="15.75" customHeight="1" thickBot="1" x14ac:dyDescent="0.3">
      <c r="A58" s="1178"/>
      <c r="B58" s="1179"/>
      <c r="C58" s="1180"/>
      <c r="D58" s="1181"/>
      <c r="E58" s="1182"/>
      <c r="F58" s="1409"/>
      <c r="G58" s="1410"/>
      <c r="H58" s="1410"/>
      <c r="I58" s="1411"/>
      <c r="J58" s="1183"/>
      <c r="K58" s="1184">
        <f>AVERAGEA(K57:K57)</f>
        <v>77</v>
      </c>
      <c r="L58" s="1185">
        <f>AVERAGEA(L57:L57)</f>
        <v>750</v>
      </c>
      <c r="M58" s="1186">
        <f>AVERAGEA(M57:M57)</f>
        <v>104</v>
      </c>
      <c r="N58" s="1184"/>
      <c r="O58" s="1187"/>
      <c r="P58" s="1188">
        <f>AVERAGEA(P57:P57)</f>
        <v>320</v>
      </c>
      <c r="Q58" s="1189"/>
      <c r="R58" s="1190">
        <f>AVERAGEA(R57:R57)</f>
        <v>1195</v>
      </c>
      <c r="S58" s="1191">
        <f>S57</f>
        <v>4.4827586206896548</v>
      </c>
      <c r="T58" s="1191">
        <f>AVERAGEA(T57:T57)</f>
        <v>3.6842105263157894</v>
      </c>
      <c r="U58" s="1028"/>
      <c r="V58" s="1191">
        <f>IF(AJ$2=0,O58/P58,R58/P58)</f>
        <v>3.734375</v>
      </c>
      <c r="W58" s="1192">
        <f>IF(V58=0," ",(V58/V$61)*100)</f>
        <v>126.96874999999999</v>
      </c>
      <c r="X58" s="1061"/>
      <c r="Y58" s="1046"/>
      <c r="Z58" s="755"/>
      <c r="AA58" s="755"/>
      <c r="AB58" s="335"/>
      <c r="AC58" s="714">
        <f>T58+V58</f>
        <v>7.4185855263157894</v>
      </c>
      <c r="AD58" s="704"/>
      <c r="AE58" s="703"/>
      <c r="AF58" s="694"/>
      <c r="AG58" s="695"/>
      <c r="AH58" s="689"/>
      <c r="AI58" s="40" t="str">
        <f>IF(AH58="ET","ET",IF(AH58=0," ",J58-AH58))</f>
        <v xml:space="preserve"> </v>
      </c>
      <c r="AJ58" s="17"/>
      <c r="AK58" s="48"/>
      <c r="AL58" s="48"/>
      <c r="AM58" s="49">
        <f>IF(AI58="ET",0,IF(AI58=0," ",IF(AI58&lt;1004,60,IF(AI58&lt;1339,40,IF(AI58&lt;1704,20,IF(AI58&lt;3927,0,20))))))</f>
        <v>20</v>
      </c>
      <c r="AN58" s="1066"/>
      <c r="AO58" s="53"/>
      <c r="AP58" s="123"/>
      <c r="AQ58" s="129"/>
    </row>
    <row r="59" spans="1:43" ht="15.75" customHeight="1" thickBot="1" x14ac:dyDescent="0.3">
      <c r="A59" s="1152"/>
      <c r="B59" s="1153"/>
      <c r="C59" s="1154"/>
      <c r="D59" s="1155"/>
      <c r="E59" s="1151"/>
      <c r="F59" s="1403"/>
      <c r="G59" s="1404"/>
      <c r="H59" s="1404"/>
      <c r="I59" s="1405"/>
      <c r="J59" s="1212" t="s">
        <v>345</v>
      </c>
      <c r="K59" s="1213"/>
      <c r="L59" s="1214" t="s">
        <v>349</v>
      </c>
      <c r="M59" s="1215"/>
      <c r="N59" s="1216"/>
      <c r="O59" s="1156"/>
      <c r="P59" s="1157" t="e">
        <f>AH3-J59</f>
        <v>#VALUE!</v>
      </c>
      <c r="Q59" s="1158"/>
      <c r="R59" s="1159"/>
      <c r="S59" s="1160" t="str">
        <f>IF(AJ$2=0," ",IF(AL$2=0," ",IF(R59=0," ",IF(#REF!=0," ",(R59-#REF!)/(AL$2)))))</f>
        <v xml:space="preserve"> </v>
      </c>
      <c r="T59" s="1160" t="str">
        <f t="shared" ref="T59:T60" si="34">IF(AJ$2=0," ",IF(R59=0," ",IF(O59=0," ",(R59-O59)/AJ$2)))</f>
        <v xml:space="preserve"> </v>
      </c>
      <c r="U59" s="1161" t="e">
        <f>IF(AJ$2=0," ",IF(T59=0," ",(T59/T$61)*100))</f>
        <v>#VALUE!</v>
      </c>
      <c r="V59" s="1160" t="e">
        <f t="shared" ref="V59:V60" si="35">IF(AJ$2=0,O59/P59,R59/P59)</f>
        <v>#VALUE!</v>
      </c>
      <c r="W59" s="1162" t="e">
        <f>IF(V59=0," ",(V59/V$61)*100)</f>
        <v>#VALUE!</v>
      </c>
      <c r="X59" s="1163"/>
      <c r="Y59" s="1164"/>
      <c r="Z59" s="1164"/>
      <c r="AA59" s="1164"/>
      <c r="AB59" s="1165"/>
      <c r="AC59" s="1166"/>
      <c r="AD59" s="1167"/>
      <c r="AE59" s="1168"/>
      <c r="AF59" s="1169"/>
      <c r="AG59" s="1170"/>
      <c r="AH59" s="689"/>
      <c r="AI59" s="40"/>
      <c r="AJ59" s="17"/>
      <c r="AK59" s="48"/>
      <c r="AL59" s="48"/>
      <c r="AM59" s="49"/>
      <c r="AN59" s="1066"/>
      <c r="AO59" s="1068"/>
      <c r="AP59" s="1069"/>
      <c r="AQ59" s="1070"/>
    </row>
    <row r="60" spans="1:43" ht="15.75" customHeight="1" thickBot="1" x14ac:dyDescent="0.3">
      <c r="A60" s="891">
        <v>78</v>
      </c>
      <c r="B60" s="892" t="s">
        <v>132</v>
      </c>
      <c r="C60" s="933" t="s">
        <v>348</v>
      </c>
      <c r="D60" s="917" t="s">
        <v>474</v>
      </c>
      <c r="E60" s="918" t="s">
        <v>36</v>
      </c>
      <c r="F60" s="1406"/>
      <c r="G60" s="1407"/>
      <c r="H60" s="1407"/>
      <c r="I60" s="1408"/>
      <c r="J60" s="1171">
        <v>43038</v>
      </c>
      <c r="K60" s="1172">
        <v>66</v>
      </c>
      <c r="L60" s="1173">
        <v>698</v>
      </c>
      <c r="M60" s="1174">
        <v>96</v>
      </c>
      <c r="N60" s="899">
        <v>2</v>
      </c>
      <c r="O60" s="913">
        <v>823</v>
      </c>
      <c r="P60" s="325">
        <f>AH2-J60</f>
        <v>323</v>
      </c>
      <c r="Q60" s="326">
        <v>48</v>
      </c>
      <c r="R60" s="946">
        <v>950</v>
      </c>
      <c r="S60" s="939">
        <f>IF(AJ$2=0," ",IF(AL$2=0," ",IF(AN60=0," ",IF(AN60=0," ",(R60-AN60)/(AL$2)))))</f>
        <v>0.75862068965517238</v>
      </c>
      <c r="T60" s="327">
        <f t="shared" si="34"/>
        <v>2.2280701754385963</v>
      </c>
      <c r="U60" s="328">
        <f>IF(AJ$2=0," ",IF(T60=0," ",(T60/T$61)*100))</f>
        <v>100</v>
      </c>
      <c r="V60" s="327">
        <f t="shared" si="35"/>
        <v>2.9411764705882355</v>
      </c>
      <c r="W60" s="329">
        <f>IF(V60=0," ",(V60/V$61)*100)</f>
        <v>100</v>
      </c>
      <c r="X60" s="1061"/>
      <c r="Y60" s="1046"/>
      <c r="Z60" s="755"/>
      <c r="AA60" s="755"/>
      <c r="AB60" s="335"/>
      <c r="AC60" s="714"/>
      <c r="AD60" s="704"/>
      <c r="AE60" s="703"/>
      <c r="AF60" s="694"/>
      <c r="AG60" s="695"/>
      <c r="AH60" s="689"/>
      <c r="AI60" s="40"/>
      <c r="AJ60" s="17"/>
      <c r="AK60" s="48"/>
      <c r="AL60" s="48"/>
      <c r="AM60" s="49"/>
      <c r="AN60" s="1294">
        <v>928</v>
      </c>
      <c r="AO60" s="1068"/>
      <c r="AP60" s="1069"/>
      <c r="AQ60" s="1070"/>
    </row>
    <row r="61" spans="1:43" ht="15.75" customHeight="1" thickBot="1" x14ac:dyDescent="0.3">
      <c r="A61" s="310"/>
      <c r="B61" s="311">
        <f>COUNTA(B60:B60)</f>
        <v>1</v>
      </c>
      <c r="C61" s="376" t="s">
        <v>42</v>
      </c>
      <c r="D61" s="376"/>
      <c r="E61" s="312" t="s">
        <v>41</v>
      </c>
      <c r="F61" s="338"/>
      <c r="G61" s="1109"/>
      <c r="H61" s="1109"/>
      <c r="I61" s="1120"/>
      <c r="J61" s="313" t="s">
        <v>1</v>
      </c>
      <c r="K61" s="339">
        <f>AVERAGEA(K60:K60)</f>
        <v>66</v>
      </c>
      <c r="L61" s="339">
        <f>AVERAGEA(L60:L60)</f>
        <v>698</v>
      </c>
      <c r="M61" s="339"/>
      <c r="N61" s="341"/>
      <c r="O61" s="314">
        <f t="shared" ref="O61:T61" si="36">AVERAGEA(O60:O60)</f>
        <v>823</v>
      </c>
      <c r="P61" s="314">
        <f t="shared" si="36"/>
        <v>323</v>
      </c>
      <c r="Q61" s="314">
        <f t="shared" si="36"/>
        <v>48</v>
      </c>
      <c r="R61" s="314">
        <f t="shared" si="36"/>
        <v>950</v>
      </c>
      <c r="S61" s="888">
        <f t="shared" si="36"/>
        <v>0.75862068965517238</v>
      </c>
      <c r="T61" s="888">
        <f t="shared" si="36"/>
        <v>2.2280701754385963</v>
      </c>
      <c r="U61" s="1023"/>
      <c r="V61" s="638">
        <f>AVERAGEA(V60:V60)</f>
        <v>2.9411764705882355</v>
      </c>
      <c r="W61" s="1024"/>
      <c r="X61" s="1047"/>
      <c r="Y61" s="1047"/>
      <c r="Z61" s="756"/>
      <c r="AA61" s="799"/>
      <c r="AB61" s="756"/>
      <c r="AC61" s="684"/>
      <c r="AD61" s="684"/>
      <c r="AE61" s="685"/>
      <c r="AF61" s="645"/>
      <c r="AG61" s="276"/>
      <c r="AH61" s="277"/>
      <c r="AI61" s="275"/>
      <c r="AJ61" s="275"/>
      <c r="AK61" s="275"/>
      <c r="AL61" s="275"/>
      <c r="AM61" s="220"/>
      <c r="AN61" s="981"/>
      <c r="AO61" s="53"/>
      <c r="AP61" s="123"/>
      <c r="AQ61" s="129"/>
    </row>
    <row r="62" spans="1:43" ht="15.75" customHeight="1" thickBot="1" x14ac:dyDescent="0.3">
      <c r="A62" s="1324" t="s">
        <v>250</v>
      </c>
      <c r="B62" s="1325"/>
      <c r="C62" s="1325"/>
      <c r="D62" s="1325"/>
      <c r="E62" s="1325"/>
      <c r="F62" s="1325"/>
      <c r="G62" s="1325"/>
      <c r="H62" s="1325"/>
      <c r="I62" s="1325"/>
      <c r="J62" s="1325"/>
      <c r="K62" s="1325"/>
      <c r="L62" s="1325"/>
      <c r="M62" s="1325"/>
      <c r="N62" s="1325"/>
      <c r="O62" s="1325"/>
      <c r="P62" s="1325"/>
      <c r="Q62" s="1325"/>
      <c r="R62" s="1325"/>
      <c r="S62" s="1325"/>
      <c r="T62" s="1325"/>
      <c r="U62" s="1325"/>
      <c r="V62" s="1325"/>
      <c r="W62" s="1325"/>
      <c r="X62" s="687"/>
      <c r="Y62" s="687"/>
      <c r="Z62" s="747"/>
      <c r="AA62" s="747"/>
      <c r="AB62" s="747"/>
      <c r="AC62" s="717"/>
      <c r="AD62" s="33"/>
      <c r="AE62" s="33"/>
      <c r="AF62" s="645"/>
      <c r="AG62" s="74"/>
      <c r="AH62" s="33"/>
      <c r="AI62" s="33"/>
      <c r="AJ62" s="33"/>
      <c r="AK62" s="33"/>
      <c r="AL62" s="33"/>
      <c r="AM62" s="33"/>
      <c r="AN62" s="981"/>
      <c r="AO62" s="53"/>
      <c r="AP62" s="123"/>
      <c r="AQ62" s="129"/>
    </row>
    <row r="63" spans="1:43" ht="15.75" customHeight="1" thickBot="1" x14ac:dyDescent="0.3">
      <c r="A63" s="891">
        <v>50</v>
      </c>
      <c r="B63" s="892" t="s">
        <v>131</v>
      </c>
      <c r="C63" s="900" t="s">
        <v>267</v>
      </c>
      <c r="D63" s="907" t="s">
        <v>268</v>
      </c>
      <c r="E63" s="908" t="s">
        <v>36</v>
      </c>
      <c r="F63" s="1336"/>
      <c r="G63" s="1344"/>
      <c r="H63" s="1344"/>
      <c r="I63" s="926"/>
      <c r="J63" s="915">
        <v>42989</v>
      </c>
      <c r="K63" s="928">
        <v>69</v>
      </c>
      <c r="L63" s="929">
        <v>689</v>
      </c>
      <c r="M63" s="930"/>
      <c r="N63" s="1297"/>
      <c r="O63" s="1298">
        <v>998</v>
      </c>
      <c r="P63" s="437">
        <f>AH2-J63</f>
        <v>372</v>
      </c>
      <c r="Q63" s="378">
        <v>48</v>
      </c>
      <c r="R63" s="946">
        <v>1215</v>
      </c>
      <c r="S63" s="939">
        <f>IF(AJ$2=0," ",IF(AL$2=0," ",IF(AN63=0," ",IF(AN63=0," ",(R63-AN63)/(AL$2)))))</f>
        <v>3.7931034482758621</v>
      </c>
      <c r="T63" s="939">
        <f>IF(AJ$2=0," ",IF(R63=0," ",IF(O63=0," ",(R63-O63)/AJ$2)))</f>
        <v>3.807017543859649</v>
      </c>
      <c r="U63" s="946">
        <f t="shared" ref="U63:U69" si="37">IF(AJ$2=0," ",IF(T63=0," ",(T63/T$79)*100))</f>
        <v>112.98405466970385</v>
      </c>
      <c r="V63" s="939">
        <f>IF(AJ$2=0,O63/P63,R63/P63)</f>
        <v>3.2661290322580645</v>
      </c>
      <c r="W63" s="947">
        <f t="shared" ref="W63:W69" si="38">IF(V63=0," ",(V63/V$79)*100)</f>
        <v>94.161485749105879</v>
      </c>
      <c r="X63" s="1048"/>
      <c r="Y63" s="1049"/>
      <c r="Z63" s="787"/>
      <c r="AA63" s="946"/>
      <c r="AB63" s="1063"/>
      <c r="AC63" s="774"/>
      <c r="AD63" s="706"/>
      <c r="AE63" s="119"/>
      <c r="AF63" s="215">
        <f>+AE63-J63</f>
        <v>-42989</v>
      </c>
      <c r="AG63" s="72"/>
      <c r="AH63" s="42"/>
      <c r="AI63" s="40" t="str">
        <f>IF(AH63="ET","ET",IF(AH63=0," ",J63-AH63))</f>
        <v xml:space="preserve"> </v>
      </c>
      <c r="AJ63" s="17"/>
      <c r="AK63" s="48">
        <f>IF(AI63="ET",0,IF(AI63=0," ",IF(AI63&lt;1004,1.3,IF(AI63&lt;1339,0.8,IF(AI63&lt;1704,0.4,0)))))</f>
        <v>0</v>
      </c>
      <c r="AL63" s="48"/>
      <c r="AM63" s="49">
        <f>IF(AI63="ET",0,IF(AI63=0," ",IF(AI63&lt;1004,60,IF(AI63&lt;1339,40,IF(AI63&lt;1704,20,IF(AI63&lt;3927,0,20))))))</f>
        <v>20</v>
      </c>
      <c r="AN63" s="946">
        <v>1105</v>
      </c>
      <c r="AO63" s="53"/>
      <c r="AP63" s="123"/>
      <c r="AQ63" s="129"/>
    </row>
    <row r="64" spans="1:43" ht="15.75" customHeight="1" thickBot="1" x14ac:dyDescent="0.3">
      <c r="A64" s="891">
        <v>51</v>
      </c>
      <c r="B64" s="892" t="s">
        <v>131</v>
      </c>
      <c r="C64" s="900" t="s">
        <v>267</v>
      </c>
      <c r="D64" s="907" t="s">
        <v>269</v>
      </c>
      <c r="E64" s="908" t="s">
        <v>36</v>
      </c>
      <c r="F64" s="1336"/>
      <c r="G64" s="1344"/>
      <c r="H64" s="1344"/>
      <c r="I64" s="926"/>
      <c r="J64" s="915">
        <v>42994</v>
      </c>
      <c r="K64" s="899">
        <v>82</v>
      </c>
      <c r="L64" s="929">
        <v>686</v>
      </c>
      <c r="M64" s="930"/>
      <c r="N64" s="928"/>
      <c r="O64" s="1298">
        <v>1007</v>
      </c>
      <c r="P64" s="437">
        <f>AH2-J64</f>
        <v>367</v>
      </c>
      <c r="Q64" s="922">
        <v>50</v>
      </c>
      <c r="R64" s="946">
        <v>1230</v>
      </c>
      <c r="S64" s="939">
        <f t="shared" ref="S64:S78" si="39">IF(AJ$2=0," ",IF(AL$2=0," ",IF(AN64=0," ",IF(AN64=0," ",(R64-AN64)/(AL$2)))))</f>
        <v>4.3103448275862073</v>
      </c>
      <c r="T64" s="939">
        <f t="shared" ref="T64:T65" si="40">IF(AJ$2=0," ",IF(R64=0," ",IF(O64=0," ",(R64-O64)/AJ$2)))</f>
        <v>3.9122807017543861</v>
      </c>
      <c r="U64" s="946">
        <f t="shared" si="37"/>
        <v>116.10803774812885</v>
      </c>
      <c r="V64" s="939">
        <f t="shared" ref="V64:V65" si="41">IF(AJ$2=0,O64/P64,R64/P64)</f>
        <v>3.3514986376021798</v>
      </c>
      <c r="W64" s="947">
        <f t="shared" si="38"/>
        <v>96.622664960834456</v>
      </c>
      <c r="X64" s="1051"/>
      <c r="Y64" s="1050"/>
      <c r="Z64" s="923"/>
      <c r="AA64" s="950"/>
      <c r="AB64" s="1063"/>
      <c r="AC64" s="924"/>
      <c r="AD64" s="925"/>
      <c r="AE64" s="119"/>
      <c r="AF64" s="215"/>
      <c r="AG64" s="72"/>
      <c r="AH64" s="42"/>
      <c r="AI64" s="40"/>
      <c r="AJ64" s="17"/>
      <c r="AK64" s="48"/>
      <c r="AL64" s="48"/>
      <c r="AM64" s="49"/>
      <c r="AN64" s="946">
        <v>1105</v>
      </c>
      <c r="AO64" s="53"/>
      <c r="AP64" s="123"/>
      <c r="AQ64" s="129"/>
    </row>
    <row r="65" spans="1:43" ht="15.75" customHeight="1" thickBot="1" x14ac:dyDescent="0.3">
      <c r="A65" s="1014">
        <v>54</v>
      </c>
      <c r="B65" s="938" t="s">
        <v>131</v>
      </c>
      <c r="C65" s="1123" t="s">
        <v>274</v>
      </c>
      <c r="D65" s="1032" t="s">
        <v>275</v>
      </c>
      <c r="E65" s="918" t="s">
        <v>36</v>
      </c>
      <c r="F65" s="1336"/>
      <c r="G65" s="1344"/>
      <c r="H65" s="1344"/>
      <c r="I65" s="926"/>
      <c r="J65" s="915">
        <v>43005</v>
      </c>
      <c r="K65" s="899">
        <v>76</v>
      </c>
      <c r="L65" s="916">
        <v>755</v>
      </c>
      <c r="M65" s="930">
        <v>104</v>
      </c>
      <c r="N65" s="928">
        <v>10</v>
      </c>
      <c r="O65" s="1298">
        <v>949</v>
      </c>
      <c r="P65" s="437">
        <f>AH2-J65</f>
        <v>356</v>
      </c>
      <c r="Q65" s="922">
        <v>50</v>
      </c>
      <c r="R65" s="946">
        <v>1135</v>
      </c>
      <c r="S65" s="939">
        <f t="shared" si="39"/>
        <v>3.4482758620689653</v>
      </c>
      <c r="T65" s="939">
        <f t="shared" si="40"/>
        <v>3.263157894736842</v>
      </c>
      <c r="U65" s="946">
        <f t="shared" si="37"/>
        <v>96.843475431174738</v>
      </c>
      <c r="V65" s="939">
        <f t="shared" si="41"/>
        <v>3.1882022471910112</v>
      </c>
      <c r="W65" s="947">
        <f t="shared" si="38"/>
        <v>91.914880734700802</v>
      </c>
      <c r="X65" s="1051"/>
      <c r="Y65" s="1050"/>
      <c r="Z65" s="923"/>
      <c r="AA65" s="950"/>
      <c r="AB65" s="949"/>
      <c r="AC65" s="924"/>
      <c r="AD65" s="925"/>
      <c r="AE65" s="119"/>
      <c r="AF65" s="215"/>
      <c r="AG65" s="72"/>
      <c r="AH65" s="42"/>
      <c r="AI65" s="40"/>
      <c r="AJ65" s="17"/>
      <c r="AK65" s="48"/>
      <c r="AL65" s="48"/>
      <c r="AM65" s="49"/>
      <c r="AN65" s="946">
        <v>1035</v>
      </c>
      <c r="AO65" s="53"/>
      <c r="AP65" s="123"/>
      <c r="AQ65" s="129"/>
    </row>
    <row r="66" spans="1:43" ht="15.75" customHeight="1" thickBot="1" x14ac:dyDescent="0.3">
      <c r="A66" s="891">
        <v>55</v>
      </c>
      <c r="B66" s="938" t="s">
        <v>131</v>
      </c>
      <c r="C66" s="933" t="s">
        <v>283</v>
      </c>
      <c r="D66" s="1032" t="s">
        <v>284</v>
      </c>
      <c r="E66" s="908" t="s">
        <v>36</v>
      </c>
      <c r="F66" s="1336"/>
      <c r="G66" s="1344"/>
      <c r="H66" s="1344"/>
      <c r="I66" s="926"/>
      <c r="J66" s="915">
        <v>42987</v>
      </c>
      <c r="K66" s="899">
        <v>83</v>
      </c>
      <c r="L66" s="929">
        <v>621</v>
      </c>
      <c r="M66" s="930">
        <v>95</v>
      </c>
      <c r="N66" s="928">
        <v>19</v>
      </c>
      <c r="O66" s="1298">
        <v>1110</v>
      </c>
      <c r="P66" s="437">
        <f>AH2-J66</f>
        <v>374</v>
      </c>
      <c r="Q66" s="378">
        <v>51.5</v>
      </c>
      <c r="R66" s="946">
        <v>1340</v>
      </c>
      <c r="S66" s="939">
        <f t="shared" si="39"/>
        <v>4.3103448275862073</v>
      </c>
      <c r="T66" s="939">
        <f>IF(AJ$2=0," ",IF(R66=0," ",IF(O66=0," ",(R66-O66)/AJ$2)))</f>
        <v>4.0350877192982457</v>
      </c>
      <c r="U66" s="946">
        <f t="shared" si="37"/>
        <v>119.75268467295801</v>
      </c>
      <c r="V66" s="939">
        <f>IF(AJ$2=0,O66/P66,R66/P66)</f>
        <v>3.5828877005347595</v>
      </c>
      <c r="W66" s="947">
        <f t="shared" si="38"/>
        <v>103.29353979052904</v>
      </c>
      <c r="X66" s="1048"/>
      <c r="Y66" s="1049"/>
      <c r="Z66" s="787"/>
      <c r="AA66" s="946"/>
      <c r="AB66" s="949"/>
      <c r="AC66" s="774"/>
      <c r="AD66" s="706"/>
      <c r="AE66" s="119"/>
      <c r="AF66" s="215">
        <f>+AE66-J66</f>
        <v>-42987</v>
      </c>
      <c r="AG66" s="72"/>
      <c r="AH66" s="42"/>
      <c r="AI66" s="40" t="str">
        <f>IF(AH66="ET","ET",IF(AH66=0," ",J66-AH66))</f>
        <v xml:space="preserve"> </v>
      </c>
      <c r="AJ66" s="17"/>
      <c r="AK66" s="48">
        <f>IF(AI66="ET",0,IF(AI66=0," ",IF(AI66&lt;1004,1.3,IF(AI66&lt;1339,0.8,IF(AI66&lt;1704,0.4,0)))))</f>
        <v>0</v>
      </c>
      <c r="AL66" s="48"/>
      <c r="AM66" s="49">
        <f>IF(AI66="ET",0,IF(AI66=0," ",IF(AI66&lt;1004,60,IF(AI66&lt;1339,40,IF(AI66&lt;1704,20,IF(AI66&lt;3927,0,20))))))</f>
        <v>20</v>
      </c>
      <c r="AN66" s="946">
        <v>1215</v>
      </c>
      <c r="AO66" s="53"/>
      <c r="AP66" s="123"/>
      <c r="AQ66" s="129"/>
    </row>
    <row r="67" spans="1:43" s="546" customFormat="1" ht="15.75" customHeight="1" thickBot="1" x14ac:dyDescent="0.3">
      <c r="A67" s="891">
        <v>56</v>
      </c>
      <c r="B67" s="938" t="s">
        <v>131</v>
      </c>
      <c r="C67" s="933" t="s">
        <v>274</v>
      </c>
      <c r="D67" s="1032" t="s">
        <v>286</v>
      </c>
      <c r="E67" s="908" t="s">
        <v>36</v>
      </c>
      <c r="F67" s="1336"/>
      <c r="G67" s="1344"/>
      <c r="H67" s="1344"/>
      <c r="I67" s="926"/>
      <c r="J67" s="915">
        <v>42988</v>
      </c>
      <c r="K67" s="899">
        <v>83</v>
      </c>
      <c r="L67" s="929">
        <v>805</v>
      </c>
      <c r="M67" s="930">
        <v>124</v>
      </c>
      <c r="N67" s="928">
        <v>19</v>
      </c>
      <c r="O67" s="1298">
        <v>1295</v>
      </c>
      <c r="P67" s="437">
        <f>AH2-J67</f>
        <v>373</v>
      </c>
      <c r="Q67" s="922">
        <v>53</v>
      </c>
      <c r="R67" s="946">
        <v>1495</v>
      </c>
      <c r="S67" s="939">
        <f t="shared" si="39"/>
        <v>3.9655172413793105</v>
      </c>
      <c r="T67" s="939">
        <f t="shared" ref="T67:T72" si="42">IF(AJ$2=0," ",IF(R67=0," ",IF(O67=0," ",(R67-O67)/AJ$2)))</f>
        <v>3.5087719298245612</v>
      </c>
      <c r="U67" s="946">
        <f t="shared" si="37"/>
        <v>104.13276928083303</v>
      </c>
      <c r="V67" s="939">
        <f t="shared" ref="V67:V71" si="43">IF(AJ$2=0,O67/P67,R67/P67)</f>
        <v>4.008042895442359</v>
      </c>
      <c r="W67" s="947">
        <f t="shared" si="38"/>
        <v>115.55063203368911</v>
      </c>
      <c r="X67" s="1051"/>
      <c r="Y67" s="1050"/>
      <c r="Z67" s="923"/>
      <c r="AA67" s="950"/>
      <c r="AB67" s="949"/>
      <c r="AC67" s="924"/>
      <c r="AD67" s="925"/>
      <c r="AE67" s="119"/>
      <c r="AF67" s="215"/>
      <c r="AG67" s="72"/>
      <c r="AH67" s="42"/>
      <c r="AI67" s="40"/>
      <c r="AJ67" s="17"/>
      <c r="AK67" s="48"/>
      <c r="AL67" s="48"/>
      <c r="AM67" s="49"/>
      <c r="AN67" s="946">
        <v>1380</v>
      </c>
    </row>
    <row r="68" spans="1:43" ht="15.75" customHeight="1" thickBot="1" x14ac:dyDescent="0.3">
      <c r="A68" s="1014">
        <v>57</v>
      </c>
      <c r="B68" s="938" t="s">
        <v>131</v>
      </c>
      <c r="C68" s="1123" t="s">
        <v>287</v>
      </c>
      <c r="D68" s="1032" t="s">
        <v>288</v>
      </c>
      <c r="E68" s="918" t="s">
        <v>36</v>
      </c>
      <c r="F68" s="1336"/>
      <c r="G68" s="1344"/>
      <c r="H68" s="1344"/>
      <c r="I68" s="926"/>
      <c r="J68" s="915">
        <v>42988</v>
      </c>
      <c r="K68" s="899">
        <v>63</v>
      </c>
      <c r="L68" s="916">
        <v>684</v>
      </c>
      <c r="M68" s="930">
        <v>107</v>
      </c>
      <c r="N68" s="928">
        <v>19</v>
      </c>
      <c r="O68" s="1298">
        <v>1035</v>
      </c>
      <c r="P68" s="437">
        <f>AH2-J68</f>
        <v>373</v>
      </c>
      <c r="Q68" s="922">
        <v>50</v>
      </c>
      <c r="R68" s="946">
        <v>1225</v>
      </c>
      <c r="S68" s="939">
        <f t="shared" si="39"/>
        <v>3.4482758620689653</v>
      </c>
      <c r="T68" s="939">
        <f t="shared" si="42"/>
        <v>3.3333333333333335</v>
      </c>
      <c r="U68" s="946">
        <f t="shared" si="37"/>
        <v>98.9261308167914</v>
      </c>
      <c r="V68" s="939">
        <f t="shared" si="43"/>
        <v>3.284182305630027</v>
      </c>
      <c r="W68" s="947">
        <f t="shared" si="38"/>
        <v>94.681956014226884</v>
      </c>
      <c r="X68" s="1051"/>
      <c r="Y68" s="1050"/>
      <c r="Z68" s="923"/>
      <c r="AA68" s="950"/>
      <c r="AB68" s="949"/>
      <c r="AC68" s="924"/>
      <c r="AD68" s="925"/>
      <c r="AE68" s="119"/>
      <c r="AF68" s="215"/>
      <c r="AG68" s="72"/>
      <c r="AH68" s="42"/>
      <c r="AI68" s="40"/>
      <c r="AJ68" s="17"/>
      <c r="AK68" s="48"/>
      <c r="AL68" s="48"/>
      <c r="AM68" s="49"/>
      <c r="AN68" s="946">
        <v>1125</v>
      </c>
    </row>
    <row r="69" spans="1:43" ht="15.75" customHeight="1" thickBot="1" x14ac:dyDescent="0.3">
      <c r="A69" s="891">
        <v>58</v>
      </c>
      <c r="B69" s="892" t="s">
        <v>131</v>
      </c>
      <c r="C69" s="905" t="s">
        <v>289</v>
      </c>
      <c r="D69" s="917" t="s">
        <v>290</v>
      </c>
      <c r="E69" s="918" t="s">
        <v>36</v>
      </c>
      <c r="F69" s="1346"/>
      <c r="G69" s="1347"/>
      <c r="H69" s="1347"/>
      <c r="I69" s="927"/>
      <c r="J69" s="919">
        <v>42996</v>
      </c>
      <c r="K69" s="906">
        <v>60</v>
      </c>
      <c r="L69" s="920">
        <v>732</v>
      </c>
      <c r="M69" s="930">
        <v>112</v>
      </c>
      <c r="N69" s="928">
        <v>19</v>
      </c>
      <c r="O69" s="1298">
        <v>1017</v>
      </c>
      <c r="P69" s="437">
        <f>AH2-J69</f>
        <v>365</v>
      </c>
      <c r="Q69" s="922">
        <v>49.5</v>
      </c>
      <c r="R69" s="946">
        <v>1210</v>
      </c>
      <c r="S69" s="939">
        <f t="shared" si="39"/>
        <v>3.103448275862069</v>
      </c>
      <c r="T69" s="939">
        <f t="shared" si="42"/>
        <v>3.3859649122807016</v>
      </c>
      <c r="U69" s="946">
        <f t="shared" si="37"/>
        <v>100.48812235600388</v>
      </c>
      <c r="V69" s="939">
        <f t="shared" si="43"/>
        <v>3.3150684931506849</v>
      </c>
      <c r="W69" s="947">
        <f t="shared" si="38"/>
        <v>95.572395209171972</v>
      </c>
      <c r="X69" s="1051"/>
      <c r="Y69" s="1050"/>
      <c r="Z69" s="923"/>
      <c r="AA69" s="950"/>
      <c r="AB69" s="949"/>
      <c r="AC69" s="924"/>
      <c r="AD69" s="925"/>
      <c r="AE69" s="119"/>
      <c r="AF69" s="215"/>
      <c r="AG69" s="72"/>
      <c r="AH69" s="42"/>
      <c r="AI69" s="40"/>
      <c r="AJ69" s="17"/>
      <c r="AK69" s="48"/>
      <c r="AL69" s="48"/>
      <c r="AM69" s="49"/>
      <c r="AN69" s="946">
        <v>1120</v>
      </c>
    </row>
    <row r="70" spans="1:43" ht="15.75" customHeight="1" thickBot="1" x14ac:dyDescent="0.3">
      <c r="A70" s="891">
        <v>59</v>
      </c>
      <c r="B70" s="938" t="s">
        <v>132</v>
      </c>
      <c r="C70" s="933" t="s">
        <v>485</v>
      </c>
      <c r="D70" s="1032" t="s">
        <v>484</v>
      </c>
      <c r="E70" s="934" t="s">
        <v>36</v>
      </c>
      <c r="F70" s="1336"/>
      <c r="G70" s="1337"/>
      <c r="H70" s="1337"/>
      <c r="I70" s="1338"/>
      <c r="J70" s="915">
        <v>42996</v>
      </c>
      <c r="K70" s="899">
        <v>78</v>
      </c>
      <c r="L70" s="929">
        <v>752</v>
      </c>
      <c r="M70" s="930">
        <v>116</v>
      </c>
      <c r="N70" s="928">
        <v>19</v>
      </c>
      <c r="O70" s="913">
        <v>1045</v>
      </c>
      <c r="P70" s="346">
        <f>AH2-J70</f>
        <v>365</v>
      </c>
      <c r="Q70" s="347">
        <v>49.5</v>
      </c>
      <c r="R70" s="946">
        <v>1180</v>
      </c>
      <c r="S70" s="939">
        <f>IF(AJ$2=0," ",IF(AL$2=0," ",IF(AN70=0," ",IF(AN70=0," ",(R70-AN70)/(AL$2)))))</f>
        <v>2.5862068965517242</v>
      </c>
      <c r="T70" s="327">
        <f>IF(AJ$2=0," ",IF(R70=0," ",IF(O70=0," ",(R70-O70)/AJ$2)))</f>
        <v>2.3684210526315788</v>
      </c>
      <c r="U70" s="946">
        <f>IF(AJ$2=0," ",IF(T70=0," ",(T70/T$84)*100))</f>
        <v>72.668926787608996</v>
      </c>
      <c r="V70" s="939">
        <f>IF(AJ$2=0,O70/P70,R70/P70)</f>
        <v>3.2328767123287672</v>
      </c>
      <c r="W70" s="947">
        <f>IF(V70=0," ",(V70/V$84)*100)</f>
        <v>91.465341234348699</v>
      </c>
      <c r="X70" s="1062"/>
      <c r="Y70" s="946"/>
      <c r="Z70" s="328"/>
      <c r="AA70" s="946"/>
      <c r="AB70" s="329"/>
      <c r="AC70" s="774"/>
      <c r="AD70" s="706"/>
      <c r="AE70" s="214"/>
      <c r="AF70" s="215"/>
      <c r="AG70" s="72"/>
      <c r="AH70" s="42"/>
      <c r="AI70" s="40" t="str">
        <f>IF(AH70="ET","ET",IF(AH70=0," ",J70-AH70))</f>
        <v xml:space="preserve"> </v>
      </c>
      <c r="AJ70" s="17"/>
      <c r="AK70" s="48">
        <f>IF(AI70="ET",0,IF(AI70=0," ",IF(AI70&lt;1004,1.3,IF(AI70&lt;1339,0.8,IF(AI70&lt;1704,0.4,0)))))</f>
        <v>0</v>
      </c>
      <c r="AL70" s="48"/>
      <c r="AM70" s="49">
        <f>IF(AI70="ET",0,IF(AI70=0," ",IF(AI70&lt;1004,60,IF(AI70&lt;1339,40,IF(AI70&lt;1704,20,IF(AI70&lt;3927,0,20))))))</f>
        <v>20</v>
      </c>
      <c r="AN70" s="946">
        <v>1105</v>
      </c>
    </row>
    <row r="71" spans="1:43" ht="15.75" customHeight="1" thickBot="1" x14ac:dyDescent="0.3">
      <c r="A71" s="891">
        <v>60</v>
      </c>
      <c r="B71" s="892" t="s">
        <v>131</v>
      </c>
      <c r="C71" s="900" t="s">
        <v>292</v>
      </c>
      <c r="D71" s="907" t="s">
        <v>293</v>
      </c>
      <c r="E71" s="908" t="s">
        <v>36</v>
      </c>
      <c r="F71" s="1336"/>
      <c r="G71" s="1344"/>
      <c r="H71" s="1344"/>
      <c r="I71" s="926"/>
      <c r="J71" s="915">
        <v>42983</v>
      </c>
      <c r="K71" s="899">
        <v>75</v>
      </c>
      <c r="L71" s="929">
        <v>665</v>
      </c>
      <c r="M71" s="930">
        <v>100</v>
      </c>
      <c r="N71" s="928"/>
      <c r="O71" s="1298">
        <v>1147</v>
      </c>
      <c r="P71" s="437">
        <f>AH2-J71</f>
        <v>378</v>
      </c>
      <c r="Q71" s="922">
        <v>50.5</v>
      </c>
      <c r="R71" s="946">
        <v>1310</v>
      </c>
      <c r="S71" s="939">
        <f t="shared" si="39"/>
        <v>2.2413793103448274</v>
      </c>
      <c r="T71" s="939">
        <f t="shared" si="42"/>
        <v>2.8596491228070176</v>
      </c>
      <c r="U71" s="946">
        <f t="shared" ref="U71:U79" si="44">IF(AJ$2=0," ",IF(T71=0," ",(T71/T$79)*100))</f>
        <v>84.868206963878933</v>
      </c>
      <c r="V71" s="939">
        <f t="shared" si="43"/>
        <v>3.4656084656084656</v>
      </c>
      <c r="W71" s="947">
        <f>IF(V71=0," ",(V71/V$79)*100)</f>
        <v>99.912415867037424</v>
      </c>
      <c r="X71" s="1051"/>
      <c r="Y71" s="1050"/>
      <c r="Z71" s="923"/>
      <c r="AA71" s="950"/>
      <c r="AB71" s="949"/>
      <c r="AC71" s="924"/>
      <c r="AD71" s="925"/>
      <c r="AE71" s="119"/>
      <c r="AF71" s="215"/>
      <c r="AG71" s="72"/>
      <c r="AH71" s="42"/>
      <c r="AI71" s="40"/>
      <c r="AJ71" s="17"/>
      <c r="AK71" s="48"/>
      <c r="AL71" s="48"/>
      <c r="AM71" s="49"/>
      <c r="AN71" s="946">
        <v>1245</v>
      </c>
    </row>
    <row r="72" spans="1:43" ht="15.75" customHeight="1" thickBot="1" x14ac:dyDescent="0.3">
      <c r="A72" s="1222">
        <v>62</v>
      </c>
      <c r="B72" s="1226" t="s">
        <v>131</v>
      </c>
      <c r="C72" s="1227" t="s">
        <v>465</v>
      </c>
      <c r="D72" s="1228" t="s">
        <v>473</v>
      </c>
      <c r="E72" s="1229" t="s">
        <v>36</v>
      </c>
      <c r="F72" s="1221"/>
      <c r="G72" s="1221"/>
      <c r="H72" s="1221"/>
      <c r="I72" s="1230"/>
      <c r="J72" s="1231">
        <v>43000</v>
      </c>
      <c r="K72" s="1232">
        <v>70</v>
      </c>
      <c r="L72" s="1223">
        <v>776</v>
      </c>
      <c r="M72" s="1224">
        <v>100</v>
      </c>
      <c r="N72" s="1299"/>
      <c r="O72" s="1298">
        <v>1160</v>
      </c>
      <c r="P72" s="1233">
        <f>AH2-J72</f>
        <v>361</v>
      </c>
      <c r="Q72" s="922">
        <v>51.5</v>
      </c>
      <c r="R72" s="946">
        <v>1365</v>
      </c>
      <c r="S72" s="939">
        <f t="shared" si="39"/>
        <v>3.103448275862069</v>
      </c>
      <c r="T72" s="1234">
        <f t="shared" si="42"/>
        <v>3.5964912280701755</v>
      </c>
      <c r="U72" s="950">
        <f t="shared" si="44"/>
        <v>106.73608851285388</v>
      </c>
      <c r="V72" s="1234">
        <f>IF(AJ$2=0,O72/P72,R72/P72)</f>
        <v>3.7811634349030472</v>
      </c>
      <c r="W72" s="1235">
        <f>IF(V72=0," ",(V72/V$79)*100)</f>
        <v>109.00976764059823</v>
      </c>
      <c r="X72" s="1051"/>
      <c r="Y72" s="1050"/>
      <c r="Z72" s="923"/>
      <c r="AA72" s="950"/>
      <c r="AB72" s="1236"/>
      <c r="AC72" s="924"/>
      <c r="AD72" s="925"/>
      <c r="AE72" s="119"/>
      <c r="AF72" s="215"/>
      <c r="AG72" s="72"/>
      <c r="AH72" s="42"/>
      <c r="AI72" s="40"/>
      <c r="AJ72" s="17"/>
      <c r="AK72" s="48"/>
      <c r="AL72" s="48"/>
      <c r="AM72" s="49"/>
      <c r="AN72" s="946">
        <v>1275</v>
      </c>
    </row>
    <row r="73" spans="1:43" ht="15.75" customHeight="1" thickBot="1" x14ac:dyDescent="0.3">
      <c r="A73" s="891">
        <v>65</v>
      </c>
      <c r="B73" s="892" t="s">
        <v>131</v>
      </c>
      <c r="C73" s="933" t="s">
        <v>302</v>
      </c>
      <c r="D73" s="1032" t="s">
        <v>303</v>
      </c>
      <c r="E73" s="934" t="s">
        <v>36</v>
      </c>
      <c r="F73" s="1348"/>
      <c r="G73" s="1344"/>
      <c r="H73" s="1344"/>
      <c r="I73" s="1349"/>
      <c r="J73" s="935">
        <v>42979</v>
      </c>
      <c r="K73" s="928">
        <v>49</v>
      </c>
      <c r="L73" s="929">
        <v>795</v>
      </c>
      <c r="M73" s="930">
        <v>100</v>
      </c>
      <c r="N73" s="928"/>
      <c r="O73" s="1298">
        <v>1132</v>
      </c>
      <c r="P73" s="1249">
        <f>AH2-J73</f>
        <v>382</v>
      </c>
      <c r="Q73" s="377">
        <v>51.5</v>
      </c>
      <c r="R73" s="946">
        <v>1280</v>
      </c>
      <c r="S73" s="939">
        <f t="shared" si="39"/>
        <v>3.6206896551724137</v>
      </c>
      <c r="T73" s="1035">
        <f t="shared" ref="T73:T78" si="45">IF(AJ$2=0," ",IF(R73=0," ",IF(O73=0," ",(R73-O73)/AJ$2)))</f>
        <v>2.5964912280701755</v>
      </c>
      <c r="U73" s="948">
        <f t="shared" si="44"/>
        <v>77.058249267816464</v>
      </c>
      <c r="V73" s="1035">
        <f t="shared" ref="V73:V78" si="46">IF(AJ$2=0,O73/P73,R73/P73)</f>
        <v>3.3507853403141361</v>
      </c>
      <c r="W73" s="943">
        <f t="shared" ref="W73:W78" si="47">IF(V73=0," ",(V73/V$79)*100)</f>
        <v>96.602100821524701</v>
      </c>
      <c r="X73" s="1052"/>
      <c r="Y73" s="944"/>
      <c r="Z73" s="785"/>
      <c r="AA73" s="948"/>
      <c r="AB73" s="951"/>
      <c r="AC73" s="775"/>
      <c r="AD73" s="707"/>
      <c r="AE73" s="119"/>
      <c r="AF73" s="39">
        <f>+AE73-J73</f>
        <v>-42979</v>
      </c>
      <c r="AG73" s="72"/>
      <c r="AH73" s="42"/>
      <c r="AI73" s="40"/>
      <c r="AJ73" s="17"/>
      <c r="AK73" s="48"/>
      <c r="AL73" s="48"/>
      <c r="AM73" s="49"/>
      <c r="AN73" s="946">
        <v>1175</v>
      </c>
    </row>
    <row r="74" spans="1:43" ht="15.75" customHeight="1" thickBot="1" x14ac:dyDescent="0.3">
      <c r="A74" s="891">
        <v>68</v>
      </c>
      <c r="B74" s="892" t="s">
        <v>131</v>
      </c>
      <c r="C74" s="933" t="s">
        <v>294</v>
      </c>
      <c r="D74" s="1032" t="s">
        <v>312</v>
      </c>
      <c r="E74" s="934" t="s">
        <v>36</v>
      </c>
      <c r="F74" s="1348"/>
      <c r="G74" s="1350"/>
      <c r="H74" s="1350"/>
      <c r="I74" s="1351"/>
      <c r="J74" s="936">
        <v>42992</v>
      </c>
      <c r="K74" s="928">
        <v>76</v>
      </c>
      <c r="L74" s="937">
        <v>790</v>
      </c>
      <c r="M74" s="930"/>
      <c r="N74" s="928" t="s">
        <v>206</v>
      </c>
      <c r="O74" s="1300">
        <v>1202</v>
      </c>
      <c r="P74" s="1249">
        <f>AH2-J74</f>
        <v>369</v>
      </c>
      <c r="Q74" s="377">
        <v>51.5</v>
      </c>
      <c r="R74" s="946">
        <v>1450</v>
      </c>
      <c r="S74" s="939">
        <f t="shared" si="39"/>
        <v>3.6206896551724137</v>
      </c>
      <c r="T74" s="1035">
        <f t="shared" si="45"/>
        <v>4.3508771929824563</v>
      </c>
      <c r="U74" s="948">
        <f t="shared" si="44"/>
        <v>129.12463390823299</v>
      </c>
      <c r="V74" s="1035">
        <f t="shared" si="46"/>
        <v>3.9295392953929538</v>
      </c>
      <c r="W74" s="943">
        <f t="shared" si="47"/>
        <v>113.2873976224647</v>
      </c>
      <c r="X74" s="1052"/>
      <c r="Y74" s="944"/>
      <c r="Z74" s="785"/>
      <c r="AA74" s="948"/>
      <c r="AB74" s="951"/>
      <c r="AC74" s="775"/>
      <c r="AD74" s="707"/>
      <c r="AE74" s="119"/>
      <c r="AF74" s="39">
        <f>+AE74-J74</f>
        <v>-42992</v>
      </c>
      <c r="AG74" s="72"/>
      <c r="AH74" s="42"/>
      <c r="AI74" s="40"/>
      <c r="AJ74" s="17"/>
      <c r="AK74" s="48"/>
      <c r="AL74" s="48"/>
      <c r="AM74" s="49"/>
      <c r="AN74" s="946">
        <v>1345</v>
      </c>
    </row>
    <row r="75" spans="1:43" s="546" customFormat="1" ht="15.75" customHeight="1" thickBot="1" x14ac:dyDescent="0.3">
      <c r="A75" s="958">
        <v>69</v>
      </c>
      <c r="B75" s="1175" t="s">
        <v>131</v>
      </c>
      <c r="C75" s="959" t="s">
        <v>274</v>
      </c>
      <c r="D75" s="1128" t="s">
        <v>313</v>
      </c>
      <c r="E75" s="975" t="s">
        <v>36</v>
      </c>
      <c r="F75" s="1343"/>
      <c r="G75" s="1344"/>
      <c r="H75" s="1352"/>
      <c r="I75" s="1353"/>
      <c r="J75" s="976">
        <v>43026</v>
      </c>
      <c r="K75" s="1013">
        <v>67</v>
      </c>
      <c r="L75" s="960">
        <v>752</v>
      </c>
      <c r="M75" s="1013"/>
      <c r="N75" s="1013"/>
      <c r="O75" s="1298">
        <v>1050</v>
      </c>
      <c r="P75" s="1249">
        <f>AH2-J75</f>
        <v>335</v>
      </c>
      <c r="Q75" s="961">
        <v>50.5</v>
      </c>
      <c r="R75" s="946">
        <v>1260</v>
      </c>
      <c r="S75" s="939">
        <f t="shared" si="39"/>
        <v>4.1379310344827589</v>
      </c>
      <c r="T75" s="1037">
        <f t="shared" si="45"/>
        <v>3.6842105263157894</v>
      </c>
      <c r="U75" s="955">
        <f t="shared" si="44"/>
        <v>109.33940774487469</v>
      </c>
      <c r="V75" s="1037">
        <f t="shared" si="46"/>
        <v>3.7611940298507465</v>
      </c>
      <c r="W75" s="964">
        <f t="shared" si="47"/>
        <v>108.43405589416109</v>
      </c>
      <c r="X75" s="1037"/>
      <c r="Y75" s="1053"/>
      <c r="Z75" s="963"/>
      <c r="AA75" s="964"/>
      <c r="AB75" s="962"/>
      <c r="AC75" s="965"/>
      <c r="AD75" s="966"/>
      <c r="AE75" s="967"/>
      <c r="AF75" s="968"/>
      <c r="AG75" s="969"/>
      <c r="AH75" s="970"/>
      <c r="AI75" s="971"/>
      <c r="AJ75" s="972"/>
      <c r="AK75" s="973"/>
      <c r="AL75" s="973"/>
      <c r="AM75" s="974"/>
      <c r="AN75" s="946">
        <v>1140</v>
      </c>
    </row>
    <row r="76" spans="1:43" s="546" customFormat="1" ht="15.75" customHeight="1" thickBot="1" x14ac:dyDescent="0.3">
      <c r="A76" s="958">
        <v>73</v>
      </c>
      <c r="B76" s="1175" t="s">
        <v>131</v>
      </c>
      <c r="C76" s="959" t="s">
        <v>319</v>
      </c>
      <c r="D76" s="1128" t="s">
        <v>321</v>
      </c>
      <c r="E76" s="975" t="s">
        <v>36</v>
      </c>
      <c r="F76" s="1343"/>
      <c r="G76" s="1344"/>
      <c r="H76" s="1344"/>
      <c r="I76" s="1345"/>
      <c r="J76" s="976">
        <v>42979</v>
      </c>
      <c r="K76" s="1013">
        <v>69</v>
      </c>
      <c r="L76" s="960">
        <v>647</v>
      </c>
      <c r="M76" s="1013">
        <v>89</v>
      </c>
      <c r="N76" s="1013">
        <v>7</v>
      </c>
      <c r="O76" s="1298">
        <v>1050</v>
      </c>
      <c r="P76" s="1249">
        <f>AH2-J76</f>
        <v>382</v>
      </c>
      <c r="Q76" s="961">
        <v>50</v>
      </c>
      <c r="R76" s="946">
        <v>1265</v>
      </c>
      <c r="S76" s="939">
        <f t="shared" si="39"/>
        <v>3.4482758620689653</v>
      </c>
      <c r="T76" s="1037">
        <f t="shared" si="45"/>
        <v>3.7719298245614037</v>
      </c>
      <c r="U76" s="955">
        <f t="shared" si="44"/>
        <v>111.94272697689553</v>
      </c>
      <c r="V76" s="1037">
        <f t="shared" si="46"/>
        <v>3.3115183246073299</v>
      </c>
      <c r="W76" s="964">
        <f t="shared" si="47"/>
        <v>95.470044952522457</v>
      </c>
      <c r="X76" s="1037"/>
      <c r="Y76" s="1053"/>
      <c r="Z76" s="963"/>
      <c r="AA76" s="964"/>
      <c r="AB76" s="962"/>
      <c r="AC76" s="965"/>
      <c r="AD76" s="966"/>
      <c r="AE76" s="967"/>
      <c r="AF76" s="968"/>
      <c r="AG76" s="969"/>
      <c r="AH76" s="970"/>
      <c r="AI76" s="971"/>
      <c r="AJ76" s="972"/>
      <c r="AK76" s="973"/>
      <c r="AL76" s="973"/>
      <c r="AM76" s="974"/>
      <c r="AN76" s="946">
        <v>1165</v>
      </c>
    </row>
    <row r="77" spans="1:43" s="546" customFormat="1" ht="15.75" customHeight="1" thickBot="1" x14ac:dyDescent="0.3">
      <c r="A77" s="982">
        <v>74</v>
      </c>
      <c r="B77" s="1176" t="s">
        <v>131</v>
      </c>
      <c r="C77" s="983" t="s">
        <v>322</v>
      </c>
      <c r="D77" s="1128" t="s">
        <v>323</v>
      </c>
      <c r="E77" s="977" t="s">
        <v>36</v>
      </c>
      <c r="F77" s="1341"/>
      <c r="G77" s="1337"/>
      <c r="H77" s="1337"/>
      <c r="I77" s="1342"/>
      <c r="J77" s="978">
        <v>42979</v>
      </c>
      <c r="K77" s="956">
        <v>70</v>
      </c>
      <c r="L77" s="984">
        <v>807</v>
      </c>
      <c r="M77" s="956">
        <v>107</v>
      </c>
      <c r="N77" s="956">
        <v>7</v>
      </c>
      <c r="O77" s="1298">
        <v>1065</v>
      </c>
      <c r="P77" s="1076">
        <f>AH2-J77</f>
        <v>382</v>
      </c>
      <c r="Q77" s="957">
        <v>50.5</v>
      </c>
      <c r="R77" s="946">
        <v>1290</v>
      </c>
      <c r="S77" s="939">
        <f t="shared" si="39"/>
        <v>3.7931034482758621</v>
      </c>
      <c r="T77" s="1038">
        <f t="shared" si="45"/>
        <v>3.9473684210526314</v>
      </c>
      <c r="U77" s="955">
        <f t="shared" si="44"/>
        <v>117.14936544093717</v>
      </c>
      <c r="V77" s="1038">
        <f t="shared" si="46"/>
        <v>3.3769633507853403</v>
      </c>
      <c r="W77" s="955">
        <f t="shared" si="47"/>
        <v>97.356804734192863</v>
      </c>
      <c r="X77" s="1038"/>
      <c r="Y77" s="1054"/>
      <c r="Z77" s="954"/>
      <c r="AA77" s="955"/>
      <c r="AB77" s="1064"/>
      <c r="AC77" s="985"/>
      <c r="AD77" s="986"/>
      <c r="AE77" s="987"/>
      <c r="AF77" s="988"/>
      <c r="AG77" s="989"/>
      <c r="AH77" s="990"/>
      <c r="AI77" s="991"/>
      <c r="AJ77" s="992"/>
      <c r="AK77" s="993"/>
      <c r="AL77" s="993"/>
      <c r="AM77" s="994"/>
      <c r="AN77" s="946">
        <v>1180</v>
      </c>
    </row>
    <row r="78" spans="1:43" s="546" customFormat="1" ht="15.75" customHeight="1" x14ac:dyDescent="0.25">
      <c r="A78" s="891">
        <v>92</v>
      </c>
      <c r="B78" s="1003" t="s">
        <v>131</v>
      </c>
      <c r="C78" s="900" t="s">
        <v>471</v>
      </c>
      <c r="D78" s="1128" t="s">
        <v>472</v>
      </c>
      <c r="E78" s="1034" t="s">
        <v>36</v>
      </c>
      <c r="F78" s="1394"/>
      <c r="G78" s="1395"/>
      <c r="H78" s="1395"/>
      <c r="I78" s="1396"/>
      <c r="J78" s="1033">
        <v>43033</v>
      </c>
      <c r="K78" s="1004">
        <v>73</v>
      </c>
      <c r="L78" s="960">
        <v>795</v>
      </c>
      <c r="M78" s="1013">
        <v>100</v>
      </c>
      <c r="N78" s="1013">
        <v>1</v>
      </c>
      <c r="O78" s="1298">
        <v>995</v>
      </c>
      <c r="P78" s="1249">
        <f>AH2-J78</f>
        <v>328</v>
      </c>
      <c r="Q78" s="961">
        <v>49</v>
      </c>
      <c r="R78" s="946">
        <v>1080</v>
      </c>
      <c r="S78" s="939">
        <f t="shared" si="39"/>
        <v>2.5862068965517242</v>
      </c>
      <c r="T78" s="1037">
        <f t="shared" si="45"/>
        <v>1.4912280701754386</v>
      </c>
      <c r="U78" s="955">
        <f t="shared" si="44"/>
        <v>44.256426944354047</v>
      </c>
      <c r="V78" s="1037">
        <f t="shared" si="46"/>
        <v>3.2926829268292681</v>
      </c>
      <c r="W78" s="964">
        <f t="shared" si="47"/>
        <v>94.927026283651443</v>
      </c>
      <c r="X78" s="1037"/>
      <c r="Y78" s="1053"/>
      <c r="Z78" s="963"/>
      <c r="AA78" s="964"/>
      <c r="AB78" s="962"/>
      <c r="AC78" s="965"/>
      <c r="AD78" s="966"/>
      <c r="AE78" s="967"/>
      <c r="AF78" s="968"/>
      <c r="AG78" s="969"/>
      <c r="AH78" s="970"/>
      <c r="AI78" s="971"/>
      <c r="AJ78" s="972"/>
      <c r="AK78" s="973"/>
      <c r="AL78" s="973"/>
      <c r="AM78" s="974"/>
      <c r="AN78" s="946">
        <v>1005</v>
      </c>
    </row>
    <row r="79" spans="1:43" ht="15.75" customHeight="1" thickBot="1" x14ac:dyDescent="0.3">
      <c r="A79" s="310"/>
      <c r="B79" s="998">
        <f>COUNTA(A63:A78)</f>
        <v>16</v>
      </c>
      <c r="C79" s="999" t="s">
        <v>46</v>
      </c>
      <c r="D79" s="1177"/>
      <c r="E79" s="1000"/>
      <c r="F79" s="996"/>
      <c r="G79" s="997"/>
      <c r="H79" s="997"/>
      <c r="I79" s="997"/>
      <c r="J79" s="1001"/>
      <c r="K79" s="314">
        <f>AVERAGEA(K63:K78)</f>
        <v>71.4375</v>
      </c>
      <c r="L79" s="297">
        <f>AVERAGEA(L63:L78)</f>
        <v>734.4375</v>
      </c>
      <c r="M79" s="300"/>
      <c r="N79" s="549"/>
      <c r="O79" s="316">
        <f t="shared" ref="O79:T79" si="48">AVERAGEA(O63:O78)</f>
        <v>1078.5625</v>
      </c>
      <c r="P79" s="297">
        <f t="shared" si="48"/>
        <v>366.375</v>
      </c>
      <c r="Q79" s="342">
        <f t="shared" si="48"/>
        <v>50.40625</v>
      </c>
      <c r="R79" s="343">
        <f t="shared" si="48"/>
        <v>1270.625</v>
      </c>
      <c r="S79" s="1025">
        <f t="shared" si="48"/>
        <v>3.4698275862068968</v>
      </c>
      <c r="T79" s="1025">
        <f t="shared" si="48"/>
        <v>3.3695175438596494</v>
      </c>
      <c r="U79" s="995">
        <f t="shared" si="44"/>
        <v>100</v>
      </c>
      <c r="V79" s="1025">
        <f>AVERAGEA(V63:V78)</f>
        <v>3.4686464495268208</v>
      </c>
      <c r="W79" s="1026"/>
      <c r="X79" s="1055" t="e">
        <f>AVERAGEA(X66:X74)</f>
        <v>#DIV/0!</v>
      </c>
      <c r="Y79" s="1055" t="e">
        <f>AVERAGEA(Y66:Y74)</f>
        <v>#DIV/0!</v>
      </c>
      <c r="Z79" s="890" t="e">
        <f>AVERAGEA(Z66:Z74)</f>
        <v>#DIV/0!</v>
      </c>
      <c r="AA79" s="799" t="e">
        <f>AVERAGEA(AA66:AA74)</f>
        <v>#DIV/0!</v>
      </c>
      <c r="AB79" s="751"/>
      <c r="AC79" s="722"/>
      <c r="AD79" s="705"/>
      <c r="AE79" s="542"/>
      <c r="AF79" s="645"/>
      <c r="AG79" s="543"/>
      <c r="AH79" s="544"/>
      <c r="AI79" s="542"/>
      <c r="AJ79" s="542"/>
      <c r="AK79" s="542"/>
      <c r="AL79" s="542"/>
      <c r="AM79" s="542"/>
      <c r="AN79" s="941"/>
    </row>
    <row r="80" spans="1:43" ht="15.75" customHeight="1" thickBot="1" x14ac:dyDescent="0.3">
      <c r="A80" s="1324" t="s">
        <v>475</v>
      </c>
      <c r="B80" s="1325"/>
      <c r="C80" s="1325"/>
      <c r="D80" s="1325"/>
      <c r="E80" s="1325"/>
      <c r="F80" s="1325"/>
      <c r="G80" s="1325"/>
      <c r="H80" s="1325"/>
      <c r="I80" s="1325"/>
      <c r="J80" s="1325"/>
      <c r="K80" s="1325"/>
      <c r="L80" s="1325"/>
      <c r="M80" s="1325"/>
      <c r="N80" s="1325"/>
      <c r="O80" s="1325"/>
      <c r="P80" s="1325"/>
      <c r="Q80" s="1325"/>
      <c r="R80" s="1325"/>
      <c r="S80" s="1325"/>
      <c r="T80" s="1325"/>
      <c r="U80" s="1325"/>
      <c r="V80" s="1325"/>
      <c r="W80" s="1325"/>
      <c r="X80" s="687"/>
      <c r="Y80" s="687"/>
      <c r="Z80" s="870"/>
      <c r="AA80" s="870"/>
      <c r="AB80" s="870"/>
      <c r="AC80" s="702"/>
      <c r="AD80" s="699"/>
      <c r="AE80" s="699"/>
      <c r="AF80" s="645"/>
      <c r="AG80" s="74"/>
      <c r="AH80" s="33"/>
      <c r="AI80" s="33"/>
      <c r="AJ80" s="33"/>
      <c r="AK80" s="33"/>
      <c r="AL80" s="33"/>
      <c r="AM80" s="33"/>
      <c r="AN80" s="941"/>
    </row>
    <row r="81" spans="1:40" ht="15.75" customHeight="1" thickBot="1" x14ac:dyDescent="0.3">
      <c r="A81" s="891">
        <v>63</v>
      </c>
      <c r="B81" s="938" t="s">
        <v>132</v>
      </c>
      <c r="C81" s="933" t="s">
        <v>298</v>
      </c>
      <c r="D81" s="1032" t="s">
        <v>299</v>
      </c>
      <c r="E81" s="934" t="s">
        <v>36</v>
      </c>
      <c r="F81" s="1336"/>
      <c r="G81" s="1337"/>
      <c r="H81" s="1337"/>
      <c r="I81" s="1338"/>
      <c r="J81" s="935">
        <v>43070</v>
      </c>
      <c r="K81" s="928">
        <v>79</v>
      </c>
      <c r="L81" s="929">
        <v>796</v>
      </c>
      <c r="M81" s="930">
        <v>100</v>
      </c>
      <c r="N81" s="928"/>
      <c r="O81" s="913">
        <v>939</v>
      </c>
      <c r="P81" s="346">
        <f>AH2-J81</f>
        <v>291</v>
      </c>
      <c r="Q81" s="347">
        <v>50</v>
      </c>
      <c r="R81" s="946">
        <v>1175</v>
      </c>
      <c r="S81" s="939">
        <f t="shared" ref="S81:S83" si="49">IF(AJ$2=0," ",IF(AL$2=0," ",IF(AN81=0," ",IF(AN81=0," ",(R81-AN81)/(AL$2)))))</f>
        <v>3.9655172413793105</v>
      </c>
      <c r="T81" s="327">
        <f t="shared" ref="T81:T83" si="50">IF(AJ$2=0," ",IF(R81=0," ",IF(O81=0," ",(R81-O81)/AJ$2)))</f>
        <v>4.1403508771929829</v>
      </c>
      <c r="U81" s="946">
        <f>IF(AJ$2=0," ",IF(T81=0," ",(T81/T$84)*100))</f>
        <v>127.03604979167207</v>
      </c>
      <c r="V81" s="939">
        <f t="shared" ref="V81:V83" si="51">IF(AJ$2=0,O81/P81,R81/P81)</f>
        <v>4.0378006872852232</v>
      </c>
      <c r="W81" s="947">
        <f>IF(V81=0," ",(V81/V$84)*100)</f>
        <v>114.23844784751964</v>
      </c>
      <c r="X81" s="1062"/>
      <c r="Y81" s="946"/>
      <c r="Z81" s="328"/>
      <c r="AA81" s="946"/>
      <c r="AB81" s="329"/>
      <c r="AC81" s="774"/>
      <c r="AD81" s="706"/>
      <c r="AE81" s="214"/>
      <c r="AF81" s="215"/>
      <c r="AG81" s="72"/>
      <c r="AH81" s="42"/>
      <c r="AI81" s="40" t="str">
        <f t="shared" ref="AI81:AI83" si="52">IF(AH81="ET","ET",IF(AH81=0," ",J81-AH81))</f>
        <v xml:space="preserve"> </v>
      </c>
      <c r="AJ81" s="17"/>
      <c r="AK81" s="48">
        <f t="shared" ref="AK81:AK83" si="53">IF(AI81="ET",0,IF(AI81=0," ",IF(AI81&lt;1004,1.3,IF(AI81&lt;1339,0.8,IF(AI81&lt;1704,0.4,0)))))</f>
        <v>0</v>
      </c>
      <c r="AL81" s="48"/>
      <c r="AM81" s="49">
        <f t="shared" ref="AM81:AM83" si="54">IF(AI81="ET",0,IF(AI81=0," ",IF(AI81&lt;1004,60,IF(AI81&lt;1339,40,IF(AI81&lt;1704,20,IF(AI81&lt;3927,0,20))))))</f>
        <v>20</v>
      </c>
      <c r="AN81" s="946">
        <v>1060</v>
      </c>
    </row>
    <row r="82" spans="1:40" ht="15.75" customHeight="1" thickBot="1" x14ac:dyDescent="0.3">
      <c r="A82" s="891">
        <v>64</v>
      </c>
      <c r="B82" s="938" t="s">
        <v>132</v>
      </c>
      <c r="C82" s="933" t="s">
        <v>300</v>
      </c>
      <c r="D82" s="1032" t="s">
        <v>301</v>
      </c>
      <c r="E82" s="934" t="s">
        <v>36</v>
      </c>
      <c r="F82" s="1336"/>
      <c r="G82" s="1337"/>
      <c r="H82" s="1337"/>
      <c r="I82" s="1338"/>
      <c r="J82" s="935">
        <v>43063</v>
      </c>
      <c r="K82" s="928">
        <v>80</v>
      </c>
      <c r="L82" s="929">
        <v>668</v>
      </c>
      <c r="M82" s="930">
        <v>100</v>
      </c>
      <c r="N82" s="928"/>
      <c r="O82" s="913">
        <v>906</v>
      </c>
      <c r="P82" s="346">
        <f>AH2-J82</f>
        <v>298</v>
      </c>
      <c r="Q82" s="347">
        <v>47.5</v>
      </c>
      <c r="R82" s="946">
        <v>1120</v>
      </c>
      <c r="S82" s="939">
        <f t="shared" si="49"/>
        <v>3.9655172413793105</v>
      </c>
      <c r="T82" s="327">
        <f t="shared" si="50"/>
        <v>3.7543859649122808</v>
      </c>
      <c r="U82" s="946">
        <f>IF(AJ$2=0," ",IF(T82=0," ",(T82/T$84)*100))</f>
        <v>115.19370616702464</v>
      </c>
      <c r="V82" s="939">
        <f t="shared" si="51"/>
        <v>3.7583892617449663</v>
      </c>
      <c r="W82" s="947">
        <f>IF(V82=0," ",(V82/V$84)*100)</f>
        <v>106.33327123365302</v>
      </c>
      <c r="X82" s="1062"/>
      <c r="Y82" s="946"/>
      <c r="Z82" s="328"/>
      <c r="AA82" s="946"/>
      <c r="AB82" s="329"/>
      <c r="AC82" s="774"/>
      <c r="AD82" s="706"/>
      <c r="AE82" s="214"/>
      <c r="AF82" s="215"/>
      <c r="AG82" s="72"/>
      <c r="AH82" s="42"/>
      <c r="AI82" s="40" t="str">
        <f t="shared" si="52"/>
        <v xml:space="preserve"> </v>
      </c>
      <c r="AJ82" s="17"/>
      <c r="AK82" s="48">
        <f t="shared" si="53"/>
        <v>0</v>
      </c>
      <c r="AL82" s="48"/>
      <c r="AM82" s="49">
        <f t="shared" si="54"/>
        <v>20</v>
      </c>
      <c r="AN82" s="946">
        <v>1005</v>
      </c>
    </row>
    <row r="83" spans="1:40" ht="15.75" customHeight="1" thickBot="1" x14ac:dyDescent="0.3">
      <c r="A83" s="891">
        <v>77</v>
      </c>
      <c r="B83" s="938" t="s">
        <v>132</v>
      </c>
      <c r="C83" s="933" t="s">
        <v>343</v>
      </c>
      <c r="D83" s="1032" t="s">
        <v>344</v>
      </c>
      <c r="E83" s="934" t="s">
        <v>36</v>
      </c>
      <c r="F83" s="1336"/>
      <c r="G83" s="1337"/>
      <c r="H83" s="1337"/>
      <c r="I83" s="1338"/>
      <c r="J83" s="915">
        <v>43075</v>
      </c>
      <c r="K83" s="899">
        <v>76</v>
      </c>
      <c r="L83" s="929">
        <v>760</v>
      </c>
      <c r="M83" s="930"/>
      <c r="N83" s="928"/>
      <c r="O83" s="913">
        <v>771</v>
      </c>
      <c r="P83" s="346">
        <f>AH2-J83</f>
        <v>286</v>
      </c>
      <c r="Q83" s="347">
        <v>47.5</v>
      </c>
      <c r="R83" s="946">
        <v>910</v>
      </c>
      <c r="S83" s="939">
        <f t="shared" si="49"/>
        <v>3.103448275862069</v>
      </c>
      <c r="T83" s="327">
        <f t="shared" si="50"/>
        <v>2.4385964912280702</v>
      </c>
      <c r="U83" s="946">
        <f>IF(AJ$2=0," ",IF(T83=0," ",(T83/T$84)*100))</f>
        <v>74.822080173908532</v>
      </c>
      <c r="V83" s="939">
        <f t="shared" si="51"/>
        <v>3.1818181818181817</v>
      </c>
      <c r="W83" s="947">
        <f>IF(V83=0," ",(V83/V$84)*100)</f>
        <v>90.020780760308512</v>
      </c>
      <c r="X83" s="1062"/>
      <c r="Y83" s="946"/>
      <c r="Z83" s="328"/>
      <c r="AA83" s="946"/>
      <c r="AB83" s="329"/>
      <c r="AC83" s="774"/>
      <c r="AD83" s="706"/>
      <c r="AE83" s="214"/>
      <c r="AF83" s="215"/>
      <c r="AG83" s="72"/>
      <c r="AH83" s="42"/>
      <c r="AI83" s="40" t="str">
        <f t="shared" si="52"/>
        <v xml:space="preserve"> </v>
      </c>
      <c r="AJ83" s="17"/>
      <c r="AK83" s="48">
        <f t="shared" si="53"/>
        <v>0</v>
      </c>
      <c r="AL83" s="48"/>
      <c r="AM83" s="49">
        <f t="shared" si="54"/>
        <v>20</v>
      </c>
      <c r="AN83" s="946">
        <v>820</v>
      </c>
    </row>
    <row r="84" spans="1:40" ht="15.75" thickBot="1" x14ac:dyDescent="0.3">
      <c r="A84" s="310"/>
      <c r="B84" s="311">
        <f>COUNTA(A70:A83)</f>
        <v>13</v>
      </c>
      <c r="C84" s="376" t="s">
        <v>46</v>
      </c>
      <c r="D84" s="376"/>
      <c r="E84" s="312"/>
      <c r="F84" s="1113"/>
      <c r="G84" s="1114"/>
      <c r="H84" s="1114"/>
      <c r="I84" s="1115"/>
      <c r="J84" s="541"/>
      <c r="K84" s="314">
        <f>AVERAGEA(K70:K83)</f>
        <v>71.802884615384613</v>
      </c>
      <c r="L84" s="297">
        <f>AVERAGEA(L70:L83)</f>
        <v>749.03365384615381</v>
      </c>
      <c r="M84" s="1027"/>
      <c r="N84" s="1027"/>
      <c r="O84" s="1027">
        <f>AVERAGE(O70:O83)</f>
        <v>1041.5817307692307</v>
      </c>
      <c r="P84" s="1027">
        <f>AVERAGE(P70:P83)</f>
        <v>347.95192307692309</v>
      </c>
      <c r="Q84" s="1027">
        <f>AVERAGE(Q70:Q83)</f>
        <v>49.99278846153846</v>
      </c>
      <c r="R84" s="1027">
        <f>AVERAGE(R70:R83)</f>
        <v>1227.3557692307693</v>
      </c>
      <c r="S84" s="1305">
        <f>AVERAGE(S70:S83)</f>
        <v>3.3570954907161803</v>
      </c>
      <c r="T84" s="1025">
        <f>AVERAGEA(T70:T83)</f>
        <v>3.2591936572199733</v>
      </c>
      <c r="U84" s="1028">
        <f>IF(AJ$2=0," ",IF(T84=0," ",(T84/T$84)*100))</f>
        <v>100</v>
      </c>
      <c r="V84" s="1025">
        <f>AVERAGEA(V70:V83)</f>
        <v>3.5345374200765565</v>
      </c>
      <c r="W84" s="1022"/>
      <c r="X84" s="1056" t="e">
        <f>AVERAGEA(#REF!)</f>
        <v>#REF!</v>
      </c>
      <c r="Y84" s="1056"/>
      <c r="Z84" s="809" t="e">
        <f>AVERAGEA(#REF!)</f>
        <v>#REF!</v>
      </c>
      <c r="AA84" s="809"/>
      <c r="AB84" s="388"/>
      <c r="AC84" s="705"/>
      <c r="AD84" s="705"/>
      <c r="AE84" s="542"/>
      <c r="AF84" s="645"/>
      <c r="AG84" s="543"/>
      <c r="AH84" s="544"/>
      <c r="AI84" s="542"/>
      <c r="AJ84" s="542"/>
      <c r="AK84" s="542"/>
      <c r="AL84" s="542"/>
      <c r="AM84" s="542"/>
      <c r="AN84" s="981"/>
    </row>
    <row r="85" spans="1:40" ht="20.25" thickBot="1" x14ac:dyDescent="0.3">
      <c r="A85" s="1324" t="s">
        <v>252</v>
      </c>
      <c r="B85" s="1325"/>
      <c r="C85" s="1325"/>
      <c r="D85" s="1325"/>
      <c r="E85" s="1325"/>
      <c r="F85" s="1325"/>
      <c r="G85" s="1325"/>
      <c r="H85" s="1325"/>
      <c r="I85" s="1325"/>
      <c r="J85" s="1325"/>
      <c r="K85" s="1325"/>
      <c r="L85" s="1325"/>
      <c r="M85" s="1325"/>
      <c r="N85" s="1325"/>
      <c r="O85" s="1325"/>
      <c r="P85" s="1325"/>
      <c r="Q85" s="1325"/>
      <c r="R85" s="1325"/>
      <c r="S85" s="1325"/>
      <c r="T85" s="1325"/>
      <c r="U85" s="1325"/>
      <c r="V85" s="1325"/>
      <c r="W85" s="1325"/>
      <c r="X85" s="687"/>
      <c r="Y85" s="687"/>
      <c r="Z85" s="942"/>
      <c r="AA85" s="942"/>
      <c r="AB85" s="942"/>
      <c r="AC85" s="717"/>
      <c r="AD85" s="33"/>
      <c r="AE85" s="33"/>
      <c r="AF85" s="645"/>
      <c r="AG85" s="74"/>
      <c r="AH85" s="33"/>
      <c r="AI85" s="33"/>
      <c r="AJ85" s="33"/>
      <c r="AK85" s="33"/>
      <c r="AL85" s="33"/>
      <c r="AM85" s="33"/>
      <c r="AN85" s="981"/>
    </row>
    <row r="86" spans="1:40" ht="16.5" thickBot="1" x14ac:dyDescent="0.3">
      <c r="A86" s="891">
        <v>82</v>
      </c>
      <c r="B86" s="892" t="s">
        <v>132</v>
      </c>
      <c r="C86" s="900" t="s">
        <v>354</v>
      </c>
      <c r="D86" s="907" t="s">
        <v>466</v>
      </c>
      <c r="E86" s="908" t="s">
        <v>36</v>
      </c>
      <c r="F86" s="1322"/>
      <c r="G86" s="1323"/>
      <c r="H86" s="1323"/>
      <c r="I86" s="1260"/>
      <c r="J86" s="915">
        <v>42984</v>
      </c>
      <c r="K86" s="928"/>
      <c r="L86" s="929"/>
      <c r="M86" s="930"/>
      <c r="N86" s="928"/>
      <c r="O86" s="913">
        <v>1050</v>
      </c>
      <c r="P86" s="346">
        <f>AH2-J86</f>
        <v>377</v>
      </c>
      <c r="Q86" s="347">
        <v>51</v>
      </c>
      <c r="R86" s="946">
        <v>1280</v>
      </c>
      <c r="S86" s="939">
        <f>IF(AJ$2=0," ",IF(AL$2=0," ",IF(AN86=0," ",IF(AN86=0," ",(R86-AN86)/(AL$2)))))</f>
        <v>5.5172413793103452</v>
      </c>
      <c r="T86" s="939">
        <f t="shared" ref="T86:T91" si="55">IF(AJ$2=0," ",IF(R86=0," ",IF(O86=0," ",(R86-O86)/AJ$2)))</f>
        <v>4.0350877192982457</v>
      </c>
      <c r="U86" s="946">
        <f>IF(AJ$2=0," ",IF(T86=0," ",(T86/T$89)*100))</f>
        <v>100.58309037900874</v>
      </c>
      <c r="V86" s="939">
        <f t="shared" ref="V86:V91" si="56">IF(AJ$2=0,O86/P86,R86/P86)</f>
        <v>3.3952254641909816</v>
      </c>
      <c r="W86" s="1039">
        <f>IF(V86=0," ",(V86/V$89)*100)</f>
        <v>108.28168322866405</v>
      </c>
      <c r="X86" s="1057"/>
      <c r="Y86" s="952"/>
      <c r="Z86" s="889"/>
      <c r="AA86" s="952"/>
      <c r="AB86" s="335"/>
      <c r="AC86" s="774"/>
      <c r="AD86" s="706"/>
      <c r="AE86" s="119"/>
      <c r="AF86" s="215">
        <f>+AE86-J86</f>
        <v>-42984</v>
      </c>
      <c r="AG86" s="72"/>
      <c r="AH86" s="42"/>
      <c r="AI86" s="40" t="str">
        <f>IF(AH86="ET","ET",IF(AH86=0," ",J86-AH86))</f>
        <v xml:space="preserve"> </v>
      </c>
      <c r="AJ86" s="17"/>
      <c r="AK86" s="48">
        <f>IF(AI86="ET",0,IF(AI86=0," ",IF(AI86&lt;1004,1.3,IF(AI86&lt;1339,0.8,IF(AI86&lt;1704,0.4,0)))))</f>
        <v>0</v>
      </c>
      <c r="AL86" s="48"/>
      <c r="AM86" s="49">
        <f>IF(AI86="ET",0,IF(AI86=0," ",IF(AI86&lt;1004,60,IF(AI86&lt;1339,40,IF(AI86&lt;1704,20,IF(AI86&lt;3927,0,20))))))</f>
        <v>20</v>
      </c>
      <c r="AN86" s="946">
        <v>1120</v>
      </c>
    </row>
    <row r="87" spans="1:40" ht="16.5" thickBot="1" x14ac:dyDescent="0.3">
      <c r="A87" s="891">
        <v>84</v>
      </c>
      <c r="B87" s="892" t="s">
        <v>132</v>
      </c>
      <c r="C87" s="933" t="s">
        <v>467</v>
      </c>
      <c r="D87" s="907" t="s">
        <v>468</v>
      </c>
      <c r="E87" s="908" t="s">
        <v>36</v>
      </c>
      <c r="F87" s="1322"/>
      <c r="G87" s="1323"/>
      <c r="H87" s="1323"/>
      <c r="I87" s="1260"/>
      <c r="J87" s="915">
        <v>43002</v>
      </c>
      <c r="K87" s="928"/>
      <c r="L87" s="929"/>
      <c r="M87" s="930"/>
      <c r="N87" s="928"/>
      <c r="O87" s="913">
        <v>846</v>
      </c>
      <c r="P87" s="346">
        <f>AH2-J87</f>
        <v>359</v>
      </c>
      <c r="Q87" s="931">
        <v>48.5</v>
      </c>
      <c r="R87" s="946">
        <v>1045</v>
      </c>
      <c r="S87" s="939">
        <f t="shared" ref="S87:S88" si="57">IF(AJ$2=0," ",IF(AL$2=0," ",IF(AN87=0," ",IF(AN87=0," ",(R87-AN87)/(AL$2)))))</f>
        <v>3.4827586206896552</v>
      </c>
      <c r="T87" s="939">
        <f t="shared" si="55"/>
        <v>3.4912280701754388</v>
      </c>
      <c r="U87" s="946">
        <f>IF(AJ$2=0," ",IF(T87=0," ",(T87/T$89)*100))</f>
        <v>87.026239067055386</v>
      </c>
      <c r="V87" s="939">
        <f t="shared" si="56"/>
        <v>2.9108635097493036</v>
      </c>
      <c r="W87" s="1039">
        <f>IF(V87=0," ",(V87/V$89)*100)</f>
        <v>92.834247330215504</v>
      </c>
      <c r="X87" s="1058"/>
      <c r="Y87" s="953"/>
      <c r="Z87" s="932"/>
      <c r="AA87" s="953"/>
      <c r="AB87" s="335"/>
      <c r="AC87" s="924"/>
      <c r="AD87" s="925"/>
      <c r="AE87" s="119"/>
      <c r="AF87" s="215"/>
      <c r="AG87" s="72"/>
      <c r="AH87" s="42"/>
      <c r="AI87" s="40"/>
      <c r="AJ87" s="17"/>
      <c r="AK87" s="48"/>
      <c r="AL87" s="48"/>
      <c r="AM87" s="49"/>
      <c r="AN87" s="946">
        <v>944</v>
      </c>
    </row>
    <row r="88" spans="1:40" ht="16.5" thickBot="1" x14ac:dyDescent="0.3">
      <c r="A88" s="891">
        <v>85</v>
      </c>
      <c r="B88" s="892" t="s">
        <v>132</v>
      </c>
      <c r="C88" s="900" t="s">
        <v>355</v>
      </c>
      <c r="D88" s="901">
        <v>7105</v>
      </c>
      <c r="E88" s="908" t="s">
        <v>36</v>
      </c>
      <c r="F88" s="1339"/>
      <c r="G88" s="1340"/>
      <c r="H88" s="1340"/>
      <c r="I88" s="1260"/>
      <c r="J88" s="915">
        <v>43003</v>
      </c>
      <c r="K88" s="928" t="s">
        <v>206</v>
      </c>
      <c r="L88" s="929" t="s">
        <v>206</v>
      </c>
      <c r="M88" s="930"/>
      <c r="N88" s="928"/>
      <c r="O88" s="913">
        <v>853</v>
      </c>
      <c r="P88" s="346">
        <f>AH2-J88</f>
        <v>358</v>
      </c>
      <c r="Q88" s="931">
        <v>49.5</v>
      </c>
      <c r="R88" s="946">
        <v>1110</v>
      </c>
      <c r="S88" s="939">
        <f t="shared" si="57"/>
        <v>4.068965517241379</v>
      </c>
      <c r="T88" s="939">
        <f t="shared" si="55"/>
        <v>4.5087719298245617</v>
      </c>
      <c r="U88" s="946">
        <f>IF(AJ$2=0," ",IF(T88=0," ",(T88/T$89)*100))</f>
        <v>112.39067055393586</v>
      </c>
      <c r="V88" s="939">
        <f t="shared" si="56"/>
        <v>3.1005586592178771</v>
      </c>
      <c r="W88" s="1039">
        <f>IF(V88=0," ",(V88/V$89)*100)</f>
        <v>98.884069441120459</v>
      </c>
      <c r="X88" s="1058"/>
      <c r="Y88" s="953"/>
      <c r="Z88" s="932"/>
      <c r="AA88" s="953"/>
      <c r="AB88" s="335"/>
      <c r="AC88" s="924"/>
      <c r="AD88" s="925"/>
      <c r="AE88" s="119"/>
      <c r="AF88" s="215"/>
      <c r="AG88" s="72"/>
      <c r="AH88" s="42"/>
      <c r="AI88" s="40"/>
      <c r="AJ88" s="17"/>
      <c r="AK88" s="48"/>
      <c r="AL88" s="48"/>
      <c r="AM88" s="49"/>
      <c r="AN88" s="946">
        <v>992</v>
      </c>
    </row>
    <row r="89" spans="1:40" ht="16.5" thickBot="1" x14ac:dyDescent="0.3">
      <c r="A89" s="1270"/>
      <c r="B89" s="1271"/>
      <c r="C89" s="1272"/>
      <c r="D89" s="1273"/>
      <c r="E89" s="1274"/>
      <c r="F89" s="1275"/>
      <c r="G89" s="1275"/>
      <c r="H89" s="1275"/>
      <c r="I89" s="1275"/>
      <c r="J89" s="1276"/>
      <c r="K89" s="1277">
        <f>AVERAGEA(K86:K88)</f>
        <v>0</v>
      </c>
      <c r="L89" s="1278">
        <f>AVERAGEA(L86:L88)</f>
        <v>0</v>
      </c>
      <c r="M89" s="1279"/>
      <c r="N89" s="1280"/>
      <c r="O89" s="1281"/>
      <c r="P89" s="1193">
        <f>AVERAGEA(P86:P88)</f>
        <v>364.66666666666669</v>
      </c>
      <c r="Q89" s="1282"/>
      <c r="R89" s="1283">
        <f>AVERAGEA(R86:R88)</f>
        <v>1145</v>
      </c>
      <c r="S89" s="1191">
        <f>AVERAGE(S86:S88)</f>
        <v>4.3563218390804597</v>
      </c>
      <c r="T89" s="1191">
        <f>(T86+T87+T88)/3</f>
        <v>4.0116959064327489</v>
      </c>
      <c r="U89" s="1028"/>
      <c r="V89" s="1191">
        <f>AVERAGEA(V86:V88)</f>
        <v>3.1355492110527208</v>
      </c>
      <c r="W89" s="1284"/>
      <c r="X89" s="1285"/>
      <c r="Y89" s="1286"/>
      <c r="Z89" s="1287"/>
      <c r="AA89" s="1286"/>
      <c r="AB89" s="1288"/>
      <c r="AC89" s="1261"/>
      <c r="AD89" s="925"/>
      <c r="AE89" s="1262"/>
      <c r="AF89" s="1263"/>
      <c r="AG89" s="1264"/>
      <c r="AH89" s="1265"/>
      <c r="AI89" s="1266"/>
      <c r="AJ89" s="1267"/>
      <c r="AK89" s="1268"/>
      <c r="AL89" s="1268"/>
      <c r="AM89" s="1269"/>
      <c r="AN89" s="981"/>
    </row>
    <row r="90" spans="1:40" ht="20.25" thickBot="1" x14ac:dyDescent="0.3">
      <c r="A90" s="891"/>
      <c r="B90" s="1153"/>
      <c r="C90" s="1326"/>
      <c r="D90" s="1327"/>
      <c r="E90" s="1327"/>
      <c r="F90" s="1237"/>
      <c r="G90" s="1237"/>
      <c r="H90" s="1237"/>
      <c r="I90" s="1237"/>
      <c r="J90" s="1333" t="s">
        <v>470</v>
      </c>
      <c r="K90" s="1333"/>
      <c r="L90" s="1333"/>
      <c r="M90" s="1334"/>
      <c r="N90" s="1238"/>
      <c r="O90" s="1156"/>
      <c r="P90" s="1239" t="e">
        <f>AH4-I90</f>
        <v>#VALUE!</v>
      </c>
      <c r="Q90" s="1225"/>
      <c r="R90" s="1240"/>
      <c r="S90" s="1160" t="str">
        <f>IF(AJ$2=0," ",IF(AL$2=0," ",IF(R90=0," ",IF(#REF!=0," ",(R90-#REF!)/(AL$2)))))</f>
        <v xml:space="preserve"> </v>
      </c>
      <c r="T90" s="1160" t="str">
        <f t="shared" si="55"/>
        <v xml:space="preserve"> </v>
      </c>
      <c r="U90" s="1161" t="e">
        <f>IF(AJ$2=0," ",IF(T90=0," ",(T90/T$92)*100))</f>
        <v>#VALUE!</v>
      </c>
      <c r="V90" s="1160" t="e">
        <f t="shared" si="56"/>
        <v>#VALUE!</v>
      </c>
      <c r="W90" s="1241" t="e">
        <f>IF(V90=0," ",(V90/V$92)*100)</f>
        <v>#VALUE!</v>
      </c>
      <c r="X90" s="1242"/>
      <c r="Y90" s="953"/>
      <c r="Z90" s="932"/>
      <c r="AA90" s="953"/>
      <c r="AB90" s="335"/>
      <c r="AC90" s="924"/>
      <c r="AD90" s="925"/>
      <c r="AE90" s="119"/>
      <c r="AF90" s="215"/>
      <c r="AG90" s="72"/>
      <c r="AH90" s="42"/>
      <c r="AI90" s="40"/>
      <c r="AJ90" s="17"/>
      <c r="AK90" s="48"/>
      <c r="AL90" s="48"/>
      <c r="AM90" s="49"/>
      <c r="AN90" s="981"/>
    </row>
    <row r="91" spans="1:40" ht="15.75" x14ac:dyDescent="0.25">
      <c r="A91" s="891">
        <v>86</v>
      </c>
      <c r="B91" s="892" t="s">
        <v>132</v>
      </c>
      <c r="C91" s="900" t="s">
        <v>469</v>
      </c>
      <c r="D91" s="901">
        <v>7113</v>
      </c>
      <c r="E91" s="908" t="s">
        <v>36</v>
      </c>
      <c r="F91" s="1330"/>
      <c r="G91" s="1331"/>
      <c r="H91" s="1331"/>
      <c r="I91" s="1332"/>
      <c r="J91" s="915">
        <v>43059</v>
      </c>
      <c r="K91" s="928" t="s">
        <v>206</v>
      </c>
      <c r="L91" s="929" t="s">
        <v>206</v>
      </c>
      <c r="M91" s="898"/>
      <c r="N91" s="899"/>
      <c r="O91" s="913">
        <v>688</v>
      </c>
      <c r="P91" s="346">
        <f>AH2-J91</f>
        <v>302</v>
      </c>
      <c r="Q91" s="931">
        <v>46</v>
      </c>
      <c r="R91" s="946">
        <v>824</v>
      </c>
      <c r="S91" s="939">
        <f>IF(AJ$2=0," ",IF(AL$2=0," ",IF(AN91=0," ",IF(AN91=0," ",(R91-AN91)/(AL$2)))))</f>
        <v>2.6206896551724137</v>
      </c>
      <c r="T91" s="939">
        <f t="shared" si="55"/>
        <v>2.3859649122807016</v>
      </c>
      <c r="U91" s="946">
        <f>IF(AJ$2=0," ",IF(T91=0," ",(T91/T$92)*100))</f>
        <v>100</v>
      </c>
      <c r="V91" s="939">
        <f t="shared" si="56"/>
        <v>2.7284768211920531</v>
      </c>
      <c r="W91" s="1039"/>
      <c r="X91" s="1058"/>
      <c r="Y91" s="953"/>
      <c r="Z91" s="932"/>
      <c r="AA91" s="953"/>
      <c r="AB91" s="335"/>
      <c r="AC91" s="924"/>
      <c r="AD91" s="925"/>
      <c r="AE91" s="119"/>
      <c r="AF91" s="215"/>
      <c r="AG91" s="72"/>
      <c r="AH91" s="42"/>
      <c r="AI91" s="40"/>
      <c r="AJ91" s="17"/>
      <c r="AK91" s="48"/>
      <c r="AL91" s="48"/>
      <c r="AM91" s="49"/>
      <c r="AN91" s="1258">
        <v>748</v>
      </c>
    </row>
    <row r="92" spans="1:40" ht="15.75" thickBot="1" x14ac:dyDescent="0.3">
      <c r="A92" s="310"/>
      <c r="B92" s="551">
        <f>COUNTA(A91:A91)</f>
        <v>1</v>
      </c>
      <c r="C92" s="376"/>
      <c r="D92" s="376"/>
      <c r="E92" s="312"/>
      <c r="F92" s="1111"/>
      <c r="G92" s="1112"/>
      <c r="H92" s="1112"/>
      <c r="I92" s="401"/>
      <c r="J92" s="552"/>
      <c r="K92" s="402">
        <f>AVERAGEA(K86:K88)</f>
        <v>0</v>
      </c>
      <c r="L92" s="395">
        <f>AVERAGEA(L91:L91)</f>
        <v>0</v>
      </c>
      <c r="M92" s="396"/>
      <c r="N92" s="397"/>
      <c r="O92" s="403">
        <f t="shared" ref="O92:T92" si="58">AVERAGEA(O91:O91)</f>
        <v>688</v>
      </c>
      <c r="P92" s="299">
        <f t="shared" si="58"/>
        <v>302</v>
      </c>
      <c r="Q92" s="359">
        <f t="shared" si="58"/>
        <v>46</v>
      </c>
      <c r="R92" s="385">
        <f t="shared" si="58"/>
        <v>824</v>
      </c>
      <c r="S92" s="1029">
        <f t="shared" si="58"/>
        <v>2.6206896551724137</v>
      </c>
      <c r="T92" s="1029">
        <f t="shared" si="58"/>
        <v>2.3859649122807016</v>
      </c>
      <c r="U92" s="1018"/>
      <c r="V92" s="1029">
        <f>AVERAGEA(V91:V91)</f>
        <v>2.7284768211920531</v>
      </c>
      <c r="W92" s="1030"/>
      <c r="X92" s="1059" t="e">
        <f>AVERAGE(X86:X88)</f>
        <v>#DIV/0!</v>
      </c>
      <c r="Y92" s="1060" t="e">
        <f>AVERAGEA(Y86:Y88)</f>
        <v>#DIV/0!</v>
      </c>
      <c r="Z92" s="890" t="e">
        <f>AVERAGEA(Z86:Z88)</f>
        <v>#DIV/0!</v>
      </c>
      <c r="AA92" s="799" t="e">
        <f>AVERAGEA(AA86:AA88)</f>
        <v>#DIV/0!</v>
      </c>
      <c r="AB92" s="751"/>
      <c r="AC92" s="722"/>
      <c r="AD92" s="705"/>
      <c r="AE92" s="542"/>
      <c r="AF92" s="645"/>
      <c r="AG92" s="543"/>
      <c r="AH92" s="544"/>
      <c r="AI92" s="542"/>
      <c r="AJ92" s="542"/>
      <c r="AK92" s="542"/>
      <c r="AL92" s="542"/>
      <c r="AM92" s="542"/>
      <c r="AN92" s="941"/>
    </row>
    <row r="93" spans="1:40" ht="20.25" thickBot="1" x14ac:dyDescent="0.3">
      <c r="A93" s="1324" t="s">
        <v>264</v>
      </c>
      <c r="B93" s="1325"/>
      <c r="C93" s="1325"/>
      <c r="D93" s="1325"/>
      <c r="E93" s="1325"/>
      <c r="F93" s="1325"/>
      <c r="G93" s="1325"/>
      <c r="H93" s="1325"/>
      <c r="I93" s="1325"/>
      <c r="J93" s="1325"/>
      <c r="K93" s="1325"/>
      <c r="L93" s="1325"/>
      <c r="M93" s="1325"/>
      <c r="N93" s="1325"/>
      <c r="O93" s="1325"/>
      <c r="P93" s="1325"/>
      <c r="Q93" s="1325"/>
      <c r="R93" s="1325"/>
      <c r="S93" s="1325"/>
      <c r="T93" s="1325"/>
      <c r="U93" s="1325"/>
      <c r="V93" s="1325"/>
      <c r="W93" s="1325"/>
      <c r="X93" s="687"/>
      <c r="Y93" s="687"/>
      <c r="Z93" s="942"/>
      <c r="AA93" s="942"/>
      <c r="AB93" s="942"/>
      <c r="AC93" s="717"/>
      <c r="AD93" s="33"/>
      <c r="AE93" s="33"/>
      <c r="AF93" s="645"/>
      <c r="AG93" s="74"/>
      <c r="AH93" s="33"/>
      <c r="AI93" s="33"/>
      <c r="AJ93" s="33"/>
      <c r="AK93" s="33"/>
      <c r="AL93" s="33"/>
      <c r="AM93" s="33"/>
      <c r="AN93" s="941"/>
    </row>
    <row r="94" spans="1:40" ht="16.5" thickBot="1" x14ac:dyDescent="0.3">
      <c r="A94" s="891">
        <v>80</v>
      </c>
      <c r="B94" s="892" t="s">
        <v>132</v>
      </c>
      <c r="C94" s="900" t="s">
        <v>350</v>
      </c>
      <c r="D94" s="907" t="s">
        <v>351</v>
      </c>
      <c r="E94" s="908" t="s">
        <v>36</v>
      </c>
      <c r="F94" s="1336"/>
      <c r="G94" s="1337"/>
      <c r="H94" s="1337"/>
      <c r="I94" s="1338"/>
      <c r="J94" s="915">
        <v>43092</v>
      </c>
      <c r="K94" s="899">
        <v>78</v>
      </c>
      <c r="L94" s="916">
        <v>729</v>
      </c>
      <c r="M94" s="898">
        <v>102</v>
      </c>
      <c r="N94" s="899">
        <v>2</v>
      </c>
      <c r="O94" s="913">
        <v>775</v>
      </c>
      <c r="P94" s="346">
        <f>AH2-J94</f>
        <v>269</v>
      </c>
      <c r="Q94" s="347">
        <v>49</v>
      </c>
      <c r="R94" s="946">
        <v>1005</v>
      </c>
      <c r="S94" s="939">
        <f>IF(AJ$2=0," ",IF(AL$2=0," ",IF(AN94=0," ",IF(AN94=0," ",(R94-AN94)/(AL$2)))))</f>
        <v>3.3448275862068964</v>
      </c>
      <c r="T94" s="327">
        <f t="shared" ref="T94:T95" si="59">IF(AJ$2=0," ",IF(R94=0," ",IF(O94=0," ",(R94-O94)/AJ$2)))</f>
        <v>4.0350877192982457</v>
      </c>
      <c r="U94" s="328">
        <f>IF(AJ$2=0," ",IF(T94=0," ",(T94/T$96)*100))</f>
        <v>97.251585623678636</v>
      </c>
      <c r="V94" s="327">
        <f t="shared" ref="V94:V95" si="60">IF(AJ$2=0,O94/P94,R94/P94)</f>
        <v>3.7360594795539033</v>
      </c>
      <c r="W94" s="772">
        <f>IF(V94=0," ",(V94/V$96)*100)</f>
        <v>100.14566780893557</v>
      </c>
      <c r="X94" s="1065"/>
      <c r="Y94" s="952"/>
      <c r="Z94" s="889"/>
      <c r="AA94" s="952"/>
      <c r="AB94" s="335"/>
      <c r="AC94" s="774"/>
      <c r="AD94" s="706"/>
      <c r="AE94" s="119"/>
      <c r="AF94" s="215">
        <f>+AE94-J94</f>
        <v>-43092</v>
      </c>
      <c r="AG94" s="72"/>
      <c r="AH94" s="42"/>
      <c r="AI94" s="40" t="str">
        <f>IF(AH94="ET","ET",IF(AH94=0," ",J94-AH94))</f>
        <v xml:space="preserve"> </v>
      </c>
      <c r="AJ94" s="17"/>
      <c r="AK94" s="48">
        <f>IF(AI94="ET",0,IF(AI94=0," ",IF(AI94&lt;1004,1.3,IF(AI94&lt;1339,0.8,IF(AI94&lt;1704,0.4,0)))))</f>
        <v>0</v>
      </c>
      <c r="AL94" s="48"/>
      <c r="AM94" s="49">
        <f>IF(AI94="ET",0,IF(AI94=0," ",IF(AI94&lt;1004,60,IF(AI94&lt;1339,40,IF(AI94&lt;1704,20,IF(AI94&lt;3927,0,20))))))</f>
        <v>20</v>
      </c>
      <c r="AN94" s="946">
        <v>908</v>
      </c>
    </row>
    <row r="95" spans="1:40" ht="15.75" x14ac:dyDescent="0.25">
      <c r="A95" s="891">
        <v>81</v>
      </c>
      <c r="B95" s="892" t="s">
        <v>132</v>
      </c>
      <c r="C95" s="900" t="s">
        <v>353</v>
      </c>
      <c r="D95" s="907" t="s">
        <v>352</v>
      </c>
      <c r="E95" s="908" t="s">
        <v>36</v>
      </c>
      <c r="F95" s="1322"/>
      <c r="G95" s="1323"/>
      <c r="H95" s="1323"/>
      <c r="I95" s="1335"/>
      <c r="J95" s="915">
        <v>43099</v>
      </c>
      <c r="K95" s="899">
        <v>74</v>
      </c>
      <c r="L95" s="916">
        <v>703</v>
      </c>
      <c r="M95" s="930">
        <v>100</v>
      </c>
      <c r="N95" s="928">
        <v>2</v>
      </c>
      <c r="O95" s="913">
        <v>733</v>
      </c>
      <c r="P95" s="346">
        <f>AH2-J95</f>
        <v>262</v>
      </c>
      <c r="Q95" s="931">
        <v>47</v>
      </c>
      <c r="R95" s="946">
        <v>976</v>
      </c>
      <c r="S95" s="939">
        <f>IF(AJ$2=0," ",IF(AL$2=0," ",IF(AN95=0," ",IF(AN95=0," ",(R95-AN95)/(AL$2)))))</f>
        <v>4.1379310344827589</v>
      </c>
      <c r="T95" s="327">
        <f t="shared" si="59"/>
        <v>4.2631578947368425</v>
      </c>
      <c r="U95" s="328">
        <f>IF(AJ$2=0," ",IF(T95=0," ",(T95/T$96)*100))</f>
        <v>102.74841437632134</v>
      </c>
      <c r="V95" s="327">
        <f t="shared" si="60"/>
        <v>3.7251908396946565</v>
      </c>
      <c r="W95" s="772">
        <f>IF(V95=0," ",(V95/V$96)*100)</f>
        <v>99.854332191064444</v>
      </c>
      <c r="X95" s="1058"/>
      <c r="Y95" s="953"/>
      <c r="Z95" s="932"/>
      <c r="AA95" s="953"/>
      <c r="AB95" s="335"/>
      <c r="AC95" s="924"/>
      <c r="AD95" s="925"/>
      <c r="AE95" s="119"/>
      <c r="AF95" s="215"/>
      <c r="AG95" s="72"/>
      <c r="AH95" s="42"/>
      <c r="AI95" s="40"/>
      <c r="AJ95" s="17"/>
      <c r="AK95" s="48"/>
      <c r="AL95" s="48"/>
      <c r="AM95" s="49"/>
      <c r="AN95" s="946">
        <v>856</v>
      </c>
    </row>
    <row r="96" spans="1:40" ht="15.75" thickBot="1" x14ac:dyDescent="0.3">
      <c r="A96" s="310"/>
      <c r="B96" s="551">
        <f>COUNTA(A94:A95)</f>
        <v>2</v>
      </c>
      <c r="C96" s="376"/>
      <c r="D96" s="376"/>
      <c r="E96" s="312"/>
      <c r="F96" s="1111"/>
      <c r="G96" s="1112"/>
      <c r="H96" s="1112"/>
      <c r="I96" s="1112"/>
      <c r="J96" s="1119"/>
      <c r="K96" s="402">
        <f>AVERAGEA(K94:K95)</f>
        <v>76</v>
      </c>
      <c r="L96" s="395">
        <f>AVERAGEA(L94:L95)</f>
        <v>716</v>
      </c>
      <c r="M96" s="396"/>
      <c r="N96" s="397"/>
      <c r="O96" s="403">
        <f t="shared" ref="O96:T96" si="61">AVERAGEA(O94:O95)</f>
        <v>754</v>
      </c>
      <c r="P96" s="299">
        <f t="shared" si="61"/>
        <v>265.5</v>
      </c>
      <c r="Q96" s="359">
        <f t="shared" si="61"/>
        <v>48</v>
      </c>
      <c r="R96" s="385">
        <f t="shared" si="61"/>
        <v>990.5</v>
      </c>
      <c r="S96" s="386">
        <f t="shared" si="61"/>
        <v>3.7413793103448274</v>
      </c>
      <c r="T96" s="386">
        <f t="shared" si="61"/>
        <v>4.1491228070175445</v>
      </c>
      <c r="U96" s="1018"/>
      <c r="V96" s="1029">
        <f>AVERAGEA(V94:V95)</f>
        <v>3.7306251596242799</v>
      </c>
      <c r="W96" s="1030"/>
      <c r="X96" s="1059" t="e">
        <f>AVERAGE(X94:X95)</f>
        <v>#DIV/0!</v>
      </c>
      <c r="Y96" s="1060" t="e">
        <f>AVERAGEA(Y94:Y95)</f>
        <v>#DIV/0!</v>
      </c>
      <c r="Z96" s="890" t="e">
        <f>AVERAGEA(Z94:Z95)</f>
        <v>#DIV/0!</v>
      </c>
      <c r="AA96" s="799" t="e">
        <f>AVERAGEA(AA94:AA95)</f>
        <v>#DIV/0!</v>
      </c>
      <c r="AB96" s="751"/>
      <c r="AC96" s="722"/>
      <c r="AD96" s="705"/>
      <c r="AE96" s="542"/>
      <c r="AF96" s="645"/>
      <c r="AG96" s="543"/>
      <c r="AH96" s="544"/>
      <c r="AI96" s="542"/>
      <c r="AJ96" s="542"/>
      <c r="AK96" s="542"/>
      <c r="AL96" s="542"/>
      <c r="AM96" s="542"/>
      <c r="AN96" s="981"/>
    </row>
    <row r="97" spans="1:40" ht="20.25" thickBot="1" x14ac:dyDescent="0.3">
      <c r="A97" s="1324" t="s">
        <v>169</v>
      </c>
      <c r="B97" s="1325"/>
      <c r="C97" s="1325"/>
      <c r="D97" s="1325"/>
      <c r="E97" s="1325"/>
      <c r="F97" s="1325"/>
      <c r="G97" s="1325"/>
      <c r="H97" s="1325"/>
      <c r="I97" s="1325"/>
      <c r="J97" s="1325"/>
      <c r="K97" s="1325"/>
      <c r="L97" s="1325"/>
      <c r="M97" s="1325"/>
      <c r="N97" s="1325"/>
      <c r="O97" s="1325"/>
      <c r="P97" s="1325"/>
      <c r="Q97" s="1325"/>
      <c r="R97" s="1325"/>
      <c r="S97" s="1325"/>
      <c r="T97" s="1325"/>
      <c r="U97" s="1325"/>
      <c r="V97" s="1325"/>
      <c r="W97" s="1325"/>
      <c r="X97" s="687"/>
      <c r="Y97" s="687"/>
      <c r="Z97" s="747"/>
      <c r="AA97" s="747"/>
      <c r="AB97" s="747"/>
      <c r="AC97" s="717"/>
      <c r="AD97" s="33"/>
      <c r="AE97" s="33"/>
      <c r="AF97" s="645"/>
      <c r="AG97" s="74"/>
      <c r="AH97" s="33"/>
      <c r="AI97" s="33"/>
      <c r="AJ97" s="33"/>
      <c r="AK97" s="33"/>
      <c r="AL97" s="33"/>
      <c r="AM97" s="33"/>
      <c r="AN97" s="981"/>
    </row>
    <row r="98" spans="1:40" ht="16.5" thickBot="1" x14ac:dyDescent="0.3">
      <c r="A98" s="891">
        <v>52</v>
      </c>
      <c r="B98" s="892" t="s">
        <v>131</v>
      </c>
      <c r="C98" s="900" t="s">
        <v>270</v>
      </c>
      <c r="D98" s="907" t="s">
        <v>271</v>
      </c>
      <c r="E98" s="908" t="s">
        <v>36</v>
      </c>
      <c r="F98" s="1328"/>
      <c r="G98" s="1329"/>
      <c r="H98" s="1329"/>
      <c r="I98" s="1257"/>
      <c r="J98" s="915">
        <v>42997</v>
      </c>
      <c r="K98" s="899">
        <v>86</v>
      </c>
      <c r="L98" s="916">
        <v>759</v>
      </c>
      <c r="M98" s="930"/>
      <c r="N98" s="928"/>
      <c r="O98" s="1255">
        <v>1068</v>
      </c>
      <c r="P98" s="437">
        <f>AH2-J98</f>
        <v>364</v>
      </c>
      <c r="Q98" s="347">
        <v>51.5</v>
      </c>
      <c r="R98" s="946">
        <v>1240</v>
      </c>
      <c r="S98" s="939">
        <f>IF(AJ$2=0," ",IF(AL$2=0," ",IF(AN98=0," ",IF(AN98=0," ",(R98-AN98)/(AL$2)))))</f>
        <v>3.103448275862069</v>
      </c>
      <c r="T98" s="939">
        <f t="shared" ref="T98:T100" si="62">IF(AJ$2=0," ",IF(R98=0," ",IF(O98=0," ",(R98-O98)/AJ$2)))</f>
        <v>3.0175438596491229</v>
      </c>
      <c r="U98" s="946">
        <f>IF(AJ$2=0," ",IF(T98=0," ",(T98/T$101)*100))</f>
        <v>80.373831775700936</v>
      </c>
      <c r="V98" s="939">
        <f t="shared" ref="V98:V100" si="63">IF(AJ$2=0,O98/P98,R98/P98)</f>
        <v>3.4065934065934065</v>
      </c>
      <c r="W98" s="1039">
        <f>IF(V98=0," ",(V98/V$101)*100)</f>
        <v>95.997722612466646</v>
      </c>
      <c r="X98" s="1057"/>
      <c r="Y98" s="952"/>
      <c r="Z98" s="889"/>
      <c r="AA98" s="952"/>
      <c r="AB98" s="335"/>
      <c r="AC98" s="774"/>
      <c r="AD98" s="706"/>
      <c r="AE98" s="119"/>
      <c r="AF98" s="215">
        <f>+AE98-J98</f>
        <v>-42997</v>
      </c>
      <c r="AG98" s="72"/>
      <c r="AH98" s="42"/>
      <c r="AI98" s="40" t="str">
        <f>IF(AH98="ET","ET",IF(AH98=0," ",J98-AH98))</f>
        <v xml:space="preserve"> </v>
      </c>
      <c r="AJ98" s="17"/>
      <c r="AK98" s="48">
        <f>IF(AI98="ET",0,IF(AI98=0," ",IF(AI98&lt;1004,1.3,IF(AI98&lt;1339,0.8,IF(AI98&lt;1704,0.4,0)))))</f>
        <v>0</v>
      </c>
      <c r="AL98" s="48"/>
      <c r="AM98" s="49">
        <f>IF(AI98="ET",0,IF(AI98=0," ",IF(AI98&lt;1004,60,IF(AI98&lt;1339,40,IF(AI98&lt;1704,20,IF(AI98&lt;3927,0,20))))))</f>
        <v>20</v>
      </c>
      <c r="AN98" s="946">
        <v>1150</v>
      </c>
    </row>
    <row r="99" spans="1:40" ht="16.5" thickBot="1" x14ac:dyDescent="0.3">
      <c r="A99" s="891">
        <v>53</v>
      </c>
      <c r="B99" s="892" t="s">
        <v>131</v>
      </c>
      <c r="C99" s="900" t="s">
        <v>272</v>
      </c>
      <c r="D99" s="907" t="s">
        <v>273</v>
      </c>
      <c r="E99" s="908" t="s">
        <v>36</v>
      </c>
      <c r="F99" s="1328"/>
      <c r="G99" s="1329"/>
      <c r="H99" s="1329"/>
      <c r="I99" s="1257"/>
      <c r="J99" s="915">
        <v>43003</v>
      </c>
      <c r="K99" s="899">
        <v>80</v>
      </c>
      <c r="L99" s="916">
        <v>779</v>
      </c>
      <c r="M99" s="930">
        <v>107</v>
      </c>
      <c r="N99" s="928">
        <v>10</v>
      </c>
      <c r="O99" s="1255">
        <v>1015</v>
      </c>
      <c r="P99" s="437">
        <f>AH2-J99</f>
        <v>358</v>
      </c>
      <c r="Q99" s="931">
        <v>50</v>
      </c>
      <c r="R99" s="946">
        <v>1245</v>
      </c>
      <c r="S99" s="939">
        <f t="shared" ref="S99:S100" si="64">IF(AJ$2=0," ",IF(AL$2=0," ",IF(AN99=0," ",IF(AN99=0," ",(R99-AN99)/(AL$2)))))</f>
        <v>4.4827586206896548</v>
      </c>
      <c r="T99" s="939">
        <f t="shared" si="62"/>
        <v>4.0350877192982457</v>
      </c>
      <c r="U99" s="946">
        <f>IF(AJ$2=0," ",IF(T99=0," ",(T99/T$101)*100))</f>
        <v>107.4766355140187</v>
      </c>
      <c r="V99" s="939">
        <f t="shared" si="63"/>
        <v>3.477653631284916</v>
      </c>
      <c r="W99" s="1039">
        <f>IF(V99=0," ",(V99/V$101)*100)</f>
        <v>98.000198084153993</v>
      </c>
      <c r="X99" s="1058"/>
      <c r="Y99" s="953"/>
      <c r="Z99" s="932"/>
      <c r="AA99" s="953"/>
      <c r="AB99" s="335"/>
      <c r="AC99" s="924"/>
      <c r="AD99" s="925"/>
      <c r="AE99" s="119"/>
      <c r="AF99" s="215"/>
      <c r="AG99" s="72"/>
      <c r="AH99" s="42"/>
      <c r="AI99" s="40"/>
      <c r="AJ99" s="17"/>
      <c r="AK99" s="48"/>
      <c r="AL99" s="48"/>
      <c r="AM99" s="49"/>
      <c r="AN99" s="946">
        <v>1115</v>
      </c>
    </row>
    <row r="100" spans="1:40" ht="15.75" customHeight="1" x14ac:dyDescent="0.25">
      <c r="A100" s="891">
        <v>61</v>
      </c>
      <c r="B100" s="938" t="s">
        <v>131</v>
      </c>
      <c r="C100" s="933" t="s">
        <v>294</v>
      </c>
      <c r="D100" s="1032" t="s">
        <v>295</v>
      </c>
      <c r="E100" s="934" t="s">
        <v>36</v>
      </c>
      <c r="F100" s="1328"/>
      <c r="G100" s="1329"/>
      <c r="H100" s="1329"/>
      <c r="I100" s="1257"/>
      <c r="J100" s="935">
        <v>43038</v>
      </c>
      <c r="K100" s="928">
        <v>72</v>
      </c>
      <c r="L100" s="929">
        <v>680</v>
      </c>
      <c r="M100" s="930">
        <v>99</v>
      </c>
      <c r="N100" s="928"/>
      <c r="O100" s="1255">
        <v>975</v>
      </c>
      <c r="P100" s="979">
        <f>AH2-J100</f>
        <v>323</v>
      </c>
      <c r="Q100" s="980">
        <v>50</v>
      </c>
      <c r="R100" s="946">
        <v>1215</v>
      </c>
      <c r="S100" s="939">
        <f t="shared" si="64"/>
        <v>4.8275862068965516</v>
      </c>
      <c r="T100" s="939">
        <f t="shared" si="62"/>
        <v>4.2105263157894735</v>
      </c>
      <c r="U100" s="946">
        <f>IF(AJ$2=0," ",IF(T100=0," ",(T100/T$101)*100))</f>
        <v>112.14953271028037</v>
      </c>
      <c r="V100" s="939">
        <f t="shared" si="63"/>
        <v>3.7616099071207429</v>
      </c>
      <c r="W100" s="947">
        <f>IF(V100=0," ",(V100/V$101)*100)</f>
        <v>106.00207930337938</v>
      </c>
      <c r="X100" s="1051"/>
      <c r="Y100" s="1050"/>
      <c r="Z100" s="923"/>
      <c r="AA100" s="950"/>
      <c r="AB100" s="949"/>
      <c r="AC100" s="924"/>
      <c r="AD100" s="925"/>
      <c r="AE100" s="119"/>
      <c r="AF100" s="215"/>
      <c r="AG100" s="72"/>
      <c r="AH100" s="42"/>
      <c r="AI100" s="40"/>
      <c r="AJ100" s="17"/>
      <c r="AK100" s="48"/>
      <c r="AL100" s="48"/>
      <c r="AM100" s="49"/>
      <c r="AN100" s="946">
        <v>1075</v>
      </c>
    </row>
    <row r="101" spans="1:40" ht="12" thickBot="1" x14ac:dyDescent="0.25">
      <c r="A101" s="310"/>
      <c r="B101" s="551">
        <f>COUNTA(A98:A100)</f>
        <v>3</v>
      </c>
      <c r="C101" s="376"/>
      <c r="D101" s="376"/>
      <c r="E101" s="312"/>
      <c r="F101" s="1116"/>
      <c r="G101" s="1112"/>
      <c r="H101" s="1117"/>
      <c r="I101" s="1118"/>
      <c r="J101" s="552"/>
      <c r="K101" s="402">
        <f>AVERAGEA(K98:K100)</f>
        <v>79.333333333333329</v>
      </c>
      <c r="L101" s="395">
        <f>AVERAGEA(L98:L100)</f>
        <v>739.33333333333337</v>
      </c>
      <c r="M101" s="396"/>
      <c r="N101" s="397"/>
      <c r="O101" s="403">
        <f t="shared" ref="O101:T101" si="65">AVERAGEA(O98:O100)</f>
        <v>1019.3333333333334</v>
      </c>
      <c r="P101" s="299">
        <f t="shared" si="65"/>
        <v>348.33333333333331</v>
      </c>
      <c r="Q101" s="359">
        <f t="shared" si="65"/>
        <v>50.5</v>
      </c>
      <c r="R101" s="385">
        <f t="shared" si="65"/>
        <v>1233.3333333333333</v>
      </c>
      <c r="S101" s="386">
        <f t="shared" si="65"/>
        <v>4.1379310344827589</v>
      </c>
      <c r="T101" s="386">
        <f t="shared" si="65"/>
        <v>3.7543859649122808</v>
      </c>
      <c r="U101" s="1018"/>
      <c r="V101" s="1029">
        <f>AVERAGEA(V98:V100)</f>
        <v>3.5486189816663551</v>
      </c>
      <c r="W101" s="1030"/>
      <c r="X101" s="1059" t="e">
        <f>AVERAGE(X98:X100)</f>
        <v>#DIV/0!</v>
      </c>
      <c r="Y101" s="1060" t="e">
        <f>AVERAGEA(Y98:Y100)</f>
        <v>#DIV/0!</v>
      </c>
      <c r="Z101" s="890" t="e">
        <f>AVERAGEA(Z98:Z100)</f>
        <v>#DIV/0!</v>
      </c>
      <c r="AA101" s="799" t="e">
        <f>AVERAGEA(AA98:AA100)</f>
        <v>#DIV/0!</v>
      </c>
      <c r="AB101" s="751"/>
      <c r="AC101" s="722"/>
      <c r="AD101" s="705"/>
      <c r="AE101" s="542"/>
      <c r="AF101" s="645"/>
      <c r="AG101" s="543"/>
      <c r="AH101" s="544"/>
      <c r="AI101" s="542"/>
      <c r="AJ101" s="542"/>
      <c r="AK101" s="542"/>
      <c r="AL101" s="542"/>
      <c r="AM101" s="542"/>
    </row>
    <row r="102" spans="1:40" x14ac:dyDescent="0.2">
      <c r="N102" s="881"/>
      <c r="O102" s="882"/>
      <c r="P102" s="883"/>
      <c r="Q102" s="884"/>
      <c r="R102" s="883"/>
      <c r="S102" s="885"/>
      <c r="T102" s="450"/>
      <c r="U102" s="450"/>
      <c r="V102" s="450"/>
    </row>
    <row r="103" spans="1:40" x14ac:dyDescent="0.2">
      <c r="A103" s="1006" t="s">
        <v>35</v>
      </c>
      <c r="N103" s="881"/>
      <c r="O103" s="882"/>
      <c r="P103" s="881"/>
      <c r="Q103" s="886"/>
      <c r="R103" s="882"/>
      <c r="S103" s="887"/>
    </row>
    <row r="104" spans="1:40" x14ac:dyDescent="0.2">
      <c r="N104" s="881"/>
      <c r="O104" s="882"/>
      <c r="P104" s="881"/>
      <c r="Q104" s="886"/>
      <c r="R104" s="882"/>
      <c r="S104" s="887"/>
    </row>
    <row r="106" spans="1:40" x14ac:dyDescent="0.2">
      <c r="S106">
        <f>(S35+S44+S48+S51+S55+S58+S61+S79+S84+S89+S92+S96+S101)/12</f>
        <v>3.7189678220445166</v>
      </c>
    </row>
  </sheetData>
  <mergeCells count="79">
    <mergeCell ref="A36:W36"/>
    <mergeCell ref="F13:I13"/>
    <mergeCell ref="A56:W56"/>
    <mergeCell ref="F78:I78"/>
    <mergeCell ref="F57:I57"/>
    <mergeCell ref="F54:I54"/>
    <mergeCell ref="F53:I53"/>
    <mergeCell ref="A52:W52"/>
    <mergeCell ref="F59:I59"/>
    <mergeCell ref="F60:I60"/>
    <mergeCell ref="F58:I58"/>
    <mergeCell ref="F38:I38"/>
    <mergeCell ref="F39:I39"/>
    <mergeCell ref="F37:I37"/>
    <mergeCell ref="F15:I15"/>
    <mergeCell ref="F16:I16"/>
    <mergeCell ref="A1:W1"/>
    <mergeCell ref="L3:N3"/>
    <mergeCell ref="J3:K3"/>
    <mergeCell ref="A2:W2"/>
    <mergeCell ref="F3:I3"/>
    <mergeCell ref="P3:W3"/>
    <mergeCell ref="A5:W5"/>
    <mergeCell ref="F4:I4"/>
    <mergeCell ref="F14:I14"/>
    <mergeCell ref="F6:I6"/>
    <mergeCell ref="AE3:AG3"/>
    <mergeCell ref="X3:AB3"/>
    <mergeCell ref="F18:I18"/>
    <mergeCell ref="F7:I7"/>
    <mergeCell ref="F8:I8"/>
    <mergeCell ref="F9:I9"/>
    <mergeCell ref="F10:I10"/>
    <mergeCell ref="F12:I12"/>
    <mergeCell ref="F11:I11"/>
    <mergeCell ref="F17:I17"/>
    <mergeCell ref="F65:H65"/>
    <mergeCell ref="A62:W62"/>
    <mergeCell ref="F63:H63"/>
    <mergeCell ref="F64:H64"/>
    <mergeCell ref="F40:I40"/>
    <mergeCell ref="F41:I41"/>
    <mergeCell ref="F50:I50"/>
    <mergeCell ref="F42:I42"/>
    <mergeCell ref="F43:I43"/>
    <mergeCell ref="A45:W45"/>
    <mergeCell ref="F46:I46"/>
    <mergeCell ref="F47:I47"/>
    <mergeCell ref="A49:W49"/>
    <mergeCell ref="F48:I48"/>
    <mergeCell ref="F66:H66"/>
    <mergeCell ref="F67:H67"/>
    <mergeCell ref="F68:H68"/>
    <mergeCell ref="F69:H69"/>
    <mergeCell ref="F71:H71"/>
    <mergeCell ref="F77:I77"/>
    <mergeCell ref="F82:I82"/>
    <mergeCell ref="F83:I83"/>
    <mergeCell ref="A80:W80"/>
    <mergeCell ref="F70:I70"/>
    <mergeCell ref="F81:I81"/>
    <mergeCell ref="F76:I76"/>
    <mergeCell ref="F73:I73"/>
    <mergeCell ref="F74:I74"/>
    <mergeCell ref="F75:I75"/>
    <mergeCell ref="F86:H86"/>
    <mergeCell ref="A85:W85"/>
    <mergeCell ref="C90:E90"/>
    <mergeCell ref="F99:H99"/>
    <mergeCell ref="F100:H100"/>
    <mergeCell ref="F91:I91"/>
    <mergeCell ref="J90:M90"/>
    <mergeCell ref="F95:I95"/>
    <mergeCell ref="F94:I94"/>
    <mergeCell ref="A93:W93"/>
    <mergeCell ref="A97:W97"/>
    <mergeCell ref="F98:H98"/>
    <mergeCell ref="F88:H88"/>
    <mergeCell ref="F87:H87"/>
  </mergeCells>
  <phoneticPr fontId="0" type="noConversion"/>
  <printOptions horizontalCentered="1"/>
  <pageMargins left="0.25" right="0.25" top="0.5" bottom="0.5" header="0.5" footer="0.25"/>
  <pageSetup scale="70" fitToHeight="0" orientation="landscape" r:id="rId1"/>
  <rowBreaks count="2" manualBreakCount="2">
    <brk id="35" max="32" man="1"/>
    <brk id="83" max="32" man="1"/>
  </rowBreaks>
  <ignoredErrors>
    <ignoredError sqref="S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B4" sqref="B4:B11"/>
    </sheetView>
  </sheetViews>
  <sheetFormatPr defaultColWidth="9" defaultRowHeight="11.25" x14ac:dyDescent="0.2"/>
  <cols>
    <col min="1" max="1" width="38.1640625" customWidth="1"/>
    <col min="2" max="3" width="6.83203125" customWidth="1"/>
    <col min="4" max="4" width="7.1640625" customWidth="1"/>
    <col min="5" max="5" width="7.83203125" customWidth="1"/>
    <col min="6" max="6" width="6.1640625" customWidth="1"/>
    <col min="7" max="7" width="6.83203125" customWidth="1"/>
    <col min="8" max="11" width="7.1640625" customWidth="1"/>
    <col min="12" max="13" width="7.1640625" hidden="1" customWidth="1"/>
    <col min="14" max="14" width="6.83203125" hidden="1" customWidth="1"/>
    <col min="15" max="15" width="9.1640625" hidden="1" customWidth="1"/>
  </cols>
  <sheetData>
    <row r="1" spans="1:15" ht="24.75" customHeight="1" thickBot="1" x14ac:dyDescent="0.25">
      <c r="A1" s="1415" t="s">
        <v>67</v>
      </c>
      <c r="B1" s="1416"/>
      <c r="C1" s="1416"/>
      <c r="D1" s="1416"/>
      <c r="E1" s="1416"/>
      <c r="F1" s="1417"/>
      <c r="G1" s="1417"/>
      <c r="H1" s="1417"/>
      <c r="I1" s="1417"/>
      <c r="J1" s="1417"/>
      <c r="K1" s="1417"/>
      <c r="L1" s="1417"/>
      <c r="M1" s="1417"/>
      <c r="N1" s="1417"/>
      <c r="O1" s="1418"/>
    </row>
    <row r="2" spans="1:15" ht="14.1" customHeight="1" x14ac:dyDescent="0.2">
      <c r="A2" s="184"/>
      <c r="B2" s="30" t="s">
        <v>13</v>
      </c>
      <c r="C2" s="1385" t="s">
        <v>6</v>
      </c>
      <c r="D2" s="1386"/>
      <c r="E2" s="568" t="s">
        <v>7</v>
      </c>
      <c r="F2" s="1419" t="str">
        <f>+Dates!A3</f>
        <v>56 Days</v>
      </c>
      <c r="G2" s="1420"/>
      <c r="H2" s="1420"/>
      <c r="I2" s="1420"/>
      <c r="J2" s="1420"/>
      <c r="K2" s="1421"/>
      <c r="L2" s="1422" t="s">
        <v>8</v>
      </c>
      <c r="M2" s="1422"/>
      <c r="N2" s="1422"/>
      <c r="O2" s="1423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28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 t="str">
        <f>Report!A5</f>
        <v>ANGUS - Seniors</v>
      </c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Report!X35</f>
        <v>#DIV/0!</v>
      </c>
      <c r="M4" s="583" t="e">
        <f>Report!Y35</f>
        <v>#DIV/0!</v>
      </c>
      <c r="N4" s="583" t="e">
        <f>Report!Z35</f>
        <v>#DIV/0!</v>
      </c>
      <c r="O4" s="583" t="e">
        <f>Report!AA35</f>
        <v>#DIV/0!</v>
      </c>
    </row>
    <row r="5" spans="1:15" ht="17.100000000000001" customHeight="1" x14ac:dyDescent="0.2">
      <c r="A5" s="581" t="str">
        <f>Report!A36</f>
        <v>ANGUS - Juniors</v>
      </c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Report!X44</f>
        <v>#DIV/0!</v>
      </c>
      <c r="M5" s="584" t="e">
        <f>Report!Y44</f>
        <v>#DIV/0!</v>
      </c>
      <c r="N5" s="584" t="e">
        <f>Report!Z44</f>
        <v>#DIV/0!</v>
      </c>
      <c r="O5" s="584" t="e">
        <f>Report!AA44</f>
        <v>#DIV/0!</v>
      </c>
    </row>
    <row r="6" spans="1:15" ht="17.100000000000001" customHeight="1" x14ac:dyDescent="0.2">
      <c r="A6" s="581" t="s">
        <v>253</v>
      </c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>
        <f>Report!X51</f>
        <v>0</v>
      </c>
      <c r="M6" s="584" t="e">
        <f>Report!Y51</f>
        <v>#REF!</v>
      </c>
      <c r="N6" s="584" t="e">
        <f>Report!Z51</f>
        <v>#REF!</v>
      </c>
      <c r="O6" s="584" t="e">
        <f>Report!AA51</f>
        <v>#DIV/0!</v>
      </c>
    </row>
    <row r="7" spans="1:15" ht="17.100000000000001" customHeight="1" x14ac:dyDescent="0.2">
      <c r="A7" s="581" t="s">
        <v>255</v>
      </c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>
        <f>Report!X55</f>
        <v>0</v>
      </c>
      <c r="M7" s="584">
        <f>Report!Y55</f>
        <v>0</v>
      </c>
      <c r="N7" s="584">
        <f>Report!Z55</f>
        <v>0</v>
      </c>
      <c r="O7" s="584">
        <f>Report!AA55</f>
        <v>0</v>
      </c>
    </row>
    <row r="8" spans="1:15" ht="17.100000000000001" customHeight="1" x14ac:dyDescent="0.2">
      <c r="A8" s="581" t="s">
        <v>256</v>
      </c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 t="str">
        <f>Report!A62</f>
        <v>Simangus - Seniors</v>
      </c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 t="e">
        <f>Report!X79</f>
        <v>#DIV/0!</v>
      </c>
      <c r="M9" s="584" t="e">
        <f>Report!Y79</f>
        <v>#DIV/0!</v>
      </c>
      <c r="N9" s="584" t="e">
        <f>Report!Z79</f>
        <v>#DIV/0!</v>
      </c>
      <c r="O9" s="584" t="e">
        <f>Report!AA79</f>
        <v>#DIV/0!</v>
      </c>
    </row>
    <row r="10" spans="1:15" ht="17.100000000000001" customHeight="1" x14ac:dyDescent="0.2">
      <c r="A10" s="581" t="str">
        <f>Report!A80</f>
        <v>SimAngus - Juniors</v>
      </c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Report!X84</f>
        <v>#REF!</v>
      </c>
      <c r="M10" s="584">
        <f>Report!Y84</f>
        <v>0</v>
      </c>
      <c r="N10" s="584" t="e">
        <f>Report!Z84</f>
        <v>#REF!</v>
      </c>
      <c r="O10" s="584">
        <f>Report!AA84</f>
        <v>0</v>
      </c>
    </row>
    <row r="11" spans="1:15" ht="17.100000000000001" customHeight="1" x14ac:dyDescent="0.2">
      <c r="A11" s="581" t="str">
        <f>Report!A97</f>
        <v>SIMMENTAL - Seniors</v>
      </c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Report!X101</f>
        <v>#DIV/0!</v>
      </c>
      <c r="M11" s="584" t="e">
        <f>Report!Y101</f>
        <v>#DIV/0!</v>
      </c>
      <c r="N11" s="584" t="e">
        <f>Report!Z101</f>
        <v>#DIV/0!</v>
      </c>
      <c r="O11" s="584" t="e">
        <f>Report!AA101</f>
        <v>#DIV/0!</v>
      </c>
    </row>
    <row r="12" spans="1:15" ht="17.100000000000001" customHeight="1" x14ac:dyDescent="0.2">
      <c r="A12" s="581" t="s">
        <v>257</v>
      </c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#DIV/0!</v>
      </c>
      <c r="M13" s="569" t="e">
        <f>($B4*M4+$B5*M5+$B7*M7+$B6*M6+$B8*M8+$B9*M9+$B10*M10+$B11*M11+$B12*M12+#REF!*#REF!)/$B13</f>
        <v>#DIV/0!</v>
      </c>
      <c r="N13" s="569" t="e">
        <f>($B4*N4+$B5*N5+$B7*N7+$B6*N6+$B8*N8+$B9*N9+$B10*N10+$B11*N11+$B12*N12+#REF!*#REF!)/$B13</f>
        <v>#DIV/0!</v>
      </c>
      <c r="O13" s="569" t="e">
        <f>($B4*O4+$B5*O5+$B7*O7+$B6*O6+$B8*O8+$B9*O9+$B10*O10+$B11*O11+$B12*O12+#REF!*#REF!)/$B13</f>
        <v>#DIV/0!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K8" sqref="G4:K8"/>
    </sheetView>
  </sheetViews>
  <sheetFormatPr defaultColWidth="9" defaultRowHeight="11.25" x14ac:dyDescent="0.2"/>
  <cols>
    <col min="1" max="4" width="7.83203125" customWidth="1"/>
    <col min="5" max="5" width="35.83203125" customWidth="1"/>
    <col min="6" max="6" width="3.83203125" customWidth="1"/>
    <col min="7" max="10" width="7.83203125" customWidth="1"/>
    <col min="11" max="11" width="35.83203125" customWidth="1"/>
  </cols>
  <sheetData>
    <row r="1" spans="1:11" ht="30" customHeight="1" thickBot="1" x14ac:dyDescent="0.25">
      <c r="A1" s="1424" t="s">
        <v>48</v>
      </c>
      <c r="B1" s="1425"/>
      <c r="C1" s="1425"/>
      <c r="D1" s="1425"/>
      <c r="E1" s="1425"/>
      <c r="F1" s="1425"/>
      <c r="G1" s="1426"/>
      <c r="H1" s="1426"/>
      <c r="I1" s="1426"/>
      <c r="J1" s="1426"/>
      <c r="K1" s="1427"/>
    </row>
    <row r="2" spans="1:11" ht="20.100000000000001" customHeight="1" x14ac:dyDescent="0.45">
      <c r="A2" s="1428" t="s">
        <v>26</v>
      </c>
      <c r="B2" s="1429"/>
      <c r="C2" s="1429"/>
      <c r="D2" s="1429"/>
      <c r="E2" s="1430"/>
      <c r="F2" s="233"/>
      <c r="G2" s="1431" t="s">
        <v>27</v>
      </c>
      <c r="H2" s="1432"/>
      <c r="I2" s="1432"/>
      <c r="J2" s="1432"/>
      <c r="K2" s="1433"/>
    </row>
    <row r="3" spans="1:11" ht="17.100000000000001" customHeight="1" x14ac:dyDescent="0.2">
      <c r="A3" s="105" t="s">
        <v>97</v>
      </c>
      <c r="B3" s="106" t="s">
        <v>98</v>
      </c>
      <c r="C3" s="107" t="s">
        <v>2</v>
      </c>
      <c r="D3" s="107" t="s">
        <v>45</v>
      </c>
      <c r="E3" s="108" t="s">
        <v>50</v>
      </c>
      <c r="F3" s="234"/>
      <c r="G3" s="239" t="s">
        <v>97</v>
      </c>
      <c r="H3" s="106" t="s">
        <v>98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/>
      <c r="B4" s="229"/>
      <c r="C4" s="110"/>
      <c r="D4" s="111"/>
      <c r="E4" s="112"/>
      <c r="F4" s="254"/>
      <c r="G4" s="256"/>
      <c r="H4" s="248"/>
      <c r="I4" s="249"/>
      <c r="J4" s="250"/>
      <c r="K4" s="112"/>
    </row>
    <row r="5" spans="1:11" ht="17.100000000000001" customHeight="1" x14ac:dyDescent="0.25">
      <c r="A5" s="81"/>
      <c r="B5" s="229"/>
      <c r="C5" s="110"/>
      <c r="D5" s="111"/>
      <c r="E5" s="112"/>
      <c r="F5" s="254"/>
      <c r="G5" s="257"/>
      <c r="H5" s="251"/>
      <c r="I5" s="252"/>
      <c r="J5" s="253"/>
      <c r="K5" s="112"/>
    </row>
    <row r="6" spans="1:11" ht="17.100000000000001" customHeight="1" x14ac:dyDescent="0.25">
      <c r="A6" s="81"/>
      <c r="B6" s="229"/>
      <c r="C6" s="110"/>
      <c r="D6" s="111"/>
      <c r="E6" s="112"/>
      <c r="F6" s="254"/>
      <c r="G6" s="257"/>
      <c r="H6" s="251"/>
      <c r="I6" s="252"/>
      <c r="J6" s="253"/>
      <c r="K6" s="258"/>
    </row>
    <row r="7" spans="1:11" ht="17.100000000000001" customHeight="1" x14ac:dyDescent="0.25">
      <c r="A7" s="81"/>
      <c r="B7" s="229"/>
      <c r="C7" s="110"/>
      <c r="D7" s="111"/>
      <c r="E7" s="231"/>
      <c r="F7" s="254"/>
      <c r="G7" s="257"/>
      <c r="H7" s="251"/>
      <c r="I7" s="252"/>
      <c r="J7" s="253"/>
      <c r="K7" s="258"/>
    </row>
    <row r="8" spans="1:11" ht="17.100000000000001" customHeight="1" thickBot="1" x14ac:dyDescent="0.3">
      <c r="A8" s="114"/>
      <c r="B8" s="229"/>
      <c r="C8" s="115"/>
      <c r="D8" s="116"/>
      <c r="E8" s="232"/>
      <c r="F8" s="255"/>
      <c r="G8" s="259"/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434" t="s">
        <v>99</v>
      </c>
      <c r="B10" s="1435"/>
      <c r="C10" s="1435"/>
      <c r="D10" s="1435"/>
      <c r="E10" s="1436"/>
      <c r="F10" s="233"/>
      <c r="G10" s="1437" t="s">
        <v>100</v>
      </c>
      <c r="H10" s="1438"/>
      <c r="I10" s="1438"/>
      <c r="J10" s="1438"/>
      <c r="K10" s="1439"/>
    </row>
    <row r="11" spans="1:11" ht="17.100000000000001" customHeight="1" x14ac:dyDescent="0.2">
      <c r="A11" s="105" t="s">
        <v>97</v>
      </c>
      <c r="B11" s="106" t="s">
        <v>101</v>
      </c>
      <c r="C11" s="107" t="s">
        <v>2</v>
      </c>
      <c r="D11" s="107" t="s">
        <v>45</v>
      </c>
      <c r="E11" s="108" t="s">
        <v>50</v>
      </c>
      <c r="F11" s="234"/>
      <c r="G11" s="239" t="s">
        <v>97</v>
      </c>
      <c r="H11" s="106" t="s">
        <v>102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activeCell="O41" sqref="O41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4.83203125" customWidth="1"/>
    <col min="4" max="4" width="5.83203125" customWidth="1"/>
    <col min="5" max="5" width="4.83203125" customWidth="1"/>
    <col min="6" max="7" width="5.83203125" customWidth="1"/>
    <col min="8" max="8" width="7.83203125" customWidth="1"/>
    <col min="9" max="9" width="6.1640625" customWidth="1"/>
    <col min="10" max="14" width="5.83203125" customWidth="1"/>
    <col min="15" max="15" width="6.1640625" customWidth="1"/>
    <col min="16" max="16" width="5.83203125" customWidth="1"/>
  </cols>
  <sheetData>
    <row r="1" spans="1:17" ht="30" customHeight="1" x14ac:dyDescent="0.2">
      <c r="A1" s="1380" t="s">
        <v>109</v>
      </c>
      <c r="B1" s="1381"/>
      <c r="C1" s="1381"/>
      <c r="D1" s="1381"/>
      <c r="E1" s="1381"/>
      <c r="F1" s="1381"/>
      <c r="G1" s="1381"/>
      <c r="H1" s="1381"/>
      <c r="I1" s="1381"/>
      <c r="J1" s="1381"/>
      <c r="K1" s="1381"/>
      <c r="L1" s="1381"/>
      <c r="M1" s="1381"/>
      <c r="N1" s="1381"/>
      <c r="O1" s="1381"/>
      <c r="P1" s="1440"/>
      <c r="Q1" s="2"/>
    </row>
    <row r="2" spans="1:17" ht="18.75" thickBot="1" x14ac:dyDescent="0.25">
      <c r="A2" s="1316" t="s">
        <v>75</v>
      </c>
      <c r="B2" s="1317"/>
      <c r="C2" s="1317"/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441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382" t="s">
        <v>4</v>
      </c>
      <c r="G3" s="1383"/>
      <c r="H3" s="1384"/>
      <c r="I3" s="1442" t="s">
        <v>63</v>
      </c>
      <c r="J3" s="1443"/>
      <c r="K3" s="1443"/>
      <c r="L3" s="1443"/>
      <c r="M3" s="1443"/>
      <c r="N3" s="1443"/>
      <c r="O3" s="1443"/>
      <c r="P3" s="1444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104</v>
      </c>
      <c r="G4" s="180" t="s">
        <v>30</v>
      </c>
      <c r="H4" s="181" t="s">
        <v>105</v>
      </c>
      <c r="I4" s="56" t="s">
        <v>73</v>
      </c>
      <c r="J4" s="57" t="s">
        <v>22</v>
      </c>
      <c r="K4" s="50" t="s">
        <v>30</v>
      </c>
      <c r="L4" s="50" t="s">
        <v>22</v>
      </c>
      <c r="M4" s="57" t="s">
        <v>74</v>
      </c>
      <c r="N4" s="57" t="s">
        <v>22</v>
      </c>
      <c r="O4" s="57" t="s">
        <v>96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91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108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92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83203125" customWidth="1"/>
    <col min="2" max="2" width="7.83203125" customWidth="1"/>
    <col min="3" max="3" width="70.83203125" customWidth="1"/>
    <col min="4" max="4" width="22.83203125" customWidth="1"/>
  </cols>
  <sheetData>
    <row r="1" spans="1:4" ht="24.75" customHeight="1" thickBot="1" x14ac:dyDescent="0.25">
      <c r="A1" s="1445" t="s">
        <v>114</v>
      </c>
      <c r="B1" s="1446"/>
      <c r="C1" s="1447"/>
    </row>
    <row r="2" spans="1:4" ht="15.75" customHeight="1" thickBot="1" x14ac:dyDescent="0.25">
      <c r="A2" s="67" t="s">
        <v>2</v>
      </c>
      <c r="B2" s="68" t="s">
        <v>45</v>
      </c>
      <c r="C2" s="69" t="s">
        <v>69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A5" sqref="A5"/>
    </sheetView>
  </sheetViews>
  <sheetFormatPr defaultColWidth="9" defaultRowHeight="11.25" x14ac:dyDescent="0.2"/>
  <cols>
    <col min="1" max="1" width="14.83203125" customWidth="1"/>
    <col min="2" max="2" width="46.1640625" customWidth="1"/>
  </cols>
  <sheetData>
    <row r="1" spans="1:3" ht="18" customHeight="1" x14ac:dyDescent="0.25">
      <c r="A1" s="1448" t="s">
        <v>58</v>
      </c>
      <c r="B1" s="1448"/>
    </row>
    <row r="2" spans="1:3" ht="18" customHeight="1" x14ac:dyDescent="0.25">
      <c r="A2" s="13" t="s">
        <v>479</v>
      </c>
    </row>
    <row r="3" spans="1:3" ht="18" customHeight="1" x14ac:dyDescent="0.25">
      <c r="A3" s="36" t="s">
        <v>478</v>
      </c>
      <c r="B3" s="1"/>
    </row>
    <row r="4" spans="1:3" ht="18" customHeight="1" x14ac:dyDescent="0.25">
      <c r="A4" s="36" t="s">
        <v>121</v>
      </c>
      <c r="B4" s="1"/>
    </row>
    <row r="5" spans="1:3" ht="18" customHeight="1" x14ac:dyDescent="0.25">
      <c r="A5" s="45">
        <v>43390</v>
      </c>
      <c r="B5" s="16" t="s">
        <v>37</v>
      </c>
      <c r="C5" s="144"/>
    </row>
    <row r="6" spans="1:3" ht="18" customHeight="1" x14ac:dyDescent="0.25">
      <c r="A6" s="45">
        <v>43361</v>
      </c>
      <c r="B6" s="16" t="s">
        <v>38</v>
      </c>
    </row>
    <row r="7" spans="1:3" ht="18" customHeight="1" x14ac:dyDescent="0.25">
      <c r="A7" s="45">
        <v>43333</v>
      </c>
      <c r="B7" s="16" t="s">
        <v>39</v>
      </c>
    </row>
    <row r="8" spans="1:3" ht="18" customHeight="1" x14ac:dyDescent="0.25">
      <c r="A8" s="20">
        <f>A5-A7</f>
        <v>57</v>
      </c>
      <c r="B8" s="16" t="s">
        <v>40</v>
      </c>
    </row>
    <row r="9" spans="1:3" ht="18" customHeight="1" x14ac:dyDescent="0.25">
      <c r="A9" s="20">
        <f>+A5-A6</f>
        <v>29</v>
      </c>
      <c r="B9" s="21" t="s">
        <v>54</v>
      </c>
    </row>
    <row r="10" spans="1:3" ht="18" customHeight="1" x14ac:dyDescent="0.2">
      <c r="A10" s="1449"/>
      <c r="B10" s="1449"/>
    </row>
    <row r="11" spans="1:3" ht="18" customHeight="1" x14ac:dyDescent="0.25">
      <c r="A11" s="1448" t="s">
        <v>59</v>
      </c>
      <c r="B11" s="1448"/>
    </row>
    <row r="12" spans="1:3" ht="18" customHeight="1" x14ac:dyDescent="0.25">
      <c r="A12" s="871" t="s">
        <v>263</v>
      </c>
    </row>
    <row r="13" spans="1:3" ht="18" customHeight="1" x14ac:dyDescent="0.25">
      <c r="A13" s="45">
        <f>A6</f>
        <v>43361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480</v>
      </c>
    </row>
    <row r="16" spans="1:3" ht="18" customHeight="1" x14ac:dyDescent="0.25">
      <c r="A16" s="65" t="s">
        <v>481</v>
      </c>
    </row>
    <row r="17" spans="1:5" ht="18" customHeight="1" x14ac:dyDescent="0.25">
      <c r="A17" s="13" t="s">
        <v>479</v>
      </c>
      <c r="E17" s="66" t="s">
        <v>77</v>
      </c>
    </row>
    <row r="18" spans="1:5" ht="18" customHeight="1" x14ac:dyDescent="0.25">
      <c r="A18" s="13" t="s">
        <v>482</v>
      </c>
    </row>
    <row r="19" spans="1:5" ht="18" customHeight="1" x14ac:dyDescent="0.25">
      <c r="A19" s="65" t="s">
        <v>483</v>
      </c>
      <c r="E19" s="66" t="s">
        <v>76</v>
      </c>
    </row>
    <row r="20" spans="1:5" ht="18" customHeight="1" x14ac:dyDescent="0.25">
      <c r="A20" s="65" t="s">
        <v>254</v>
      </c>
    </row>
    <row r="21" spans="1:5" ht="18" customHeight="1" x14ac:dyDescent="0.2"/>
    <row r="22" spans="1:5" ht="18" customHeight="1" x14ac:dyDescent="0.25">
      <c r="A22" s="45">
        <v>43333</v>
      </c>
      <c r="B22" s="99">
        <v>0</v>
      </c>
    </row>
    <row r="23" spans="1:5" ht="18" customHeight="1" x14ac:dyDescent="0.25">
      <c r="A23" s="45">
        <v>43361</v>
      </c>
      <c r="B23" s="100">
        <f>A23-A$22</f>
        <v>28</v>
      </c>
    </row>
    <row r="24" spans="1:5" ht="18" customHeight="1" x14ac:dyDescent="0.25">
      <c r="A24" s="45">
        <v>43389</v>
      </c>
      <c r="B24" s="100">
        <f>A24-A$22</f>
        <v>56</v>
      </c>
    </row>
    <row r="25" spans="1:5" ht="18" customHeight="1" x14ac:dyDescent="0.25">
      <c r="A25" s="45">
        <v>43417</v>
      </c>
      <c r="B25" s="100">
        <f>A25-A$22</f>
        <v>84</v>
      </c>
    </row>
    <row r="26" spans="1:5" ht="18" customHeight="1" x14ac:dyDescent="0.25">
      <c r="A26" s="45">
        <v>43445</v>
      </c>
      <c r="B26" s="100">
        <f>A26-A$22</f>
        <v>112</v>
      </c>
    </row>
    <row r="27" spans="1:5" ht="18" customHeight="1" x14ac:dyDescent="0.25">
      <c r="A27" s="45">
        <v>43498</v>
      </c>
      <c r="B27" s="100">
        <f>A27-A$22</f>
        <v>165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B6" sqref="B6:I83"/>
    </sheetView>
  </sheetViews>
  <sheetFormatPr defaultColWidth="9" defaultRowHeight="11.25" x14ac:dyDescent="0.2"/>
  <cols>
    <col min="1" max="1" width="7.83203125" customWidth="1"/>
    <col min="2" max="2" width="8.83203125" customWidth="1"/>
    <col min="3" max="4" width="9.83203125" customWidth="1"/>
    <col min="5" max="5" width="7.832031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83203125" customWidth="1"/>
  </cols>
  <sheetData>
    <row r="1" spans="1:11" ht="19.5" x14ac:dyDescent="0.35">
      <c r="A1" s="1450" t="s">
        <v>0</v>
      </c>
      <c r="B1" s="1450"/>
      <c r="C1" s="1450"/>
      <c r="D1" s="1450"/>
      <c r="E1" s="1450"/>
      <c r="F1" s="1450"/>
      <c r="G1" s="1450"/>
      <c r="H1" s="1450"/>
      <c r="I1" s="1450"/>
      <c r="J1" s="1450"/>
      <c r="K1" s="1450"/>
    </row>
    <row r="2" spans="1:11" ht="24.75" customHeight="1" x14ac:dyDescent="0.2">
      <c r="A2" s="1451" t="s">
        <v>233</v>
      </c>
      <c r="B2" s="1451"/>
      <c r="C2" s="1451"/>
      <c r="D2" s="1451"/>
      <c r="E2" s="1451"/>
      <c r="F2" s="1451"/>
      <c r="G2" s="1451"/>
      <c r="H2" s="1451"/>
      <c r="I2" s="1451"/>
      <c r="J2" s="1451"/>
      <c r="K2" s="1451"/>
    </row>
    <row r="3" spans="1:11" ht="30" customHeight="1" x14ac:dyDescent="0.2">
      <c r="A3" s="1452" t="str">
        <f>+Dates!A12</f>
        <v>28-Days Weight Report ~ September 18, 2018</v>
      </c>
      <c r="B3" s="1452"/>
      <c r="C3" s="1452"/>
      <c r="D3" s="1452"/>
      <c r="E3" s="1452"/>
      <c r="F3" s="1452"/>
      <c r="G3" s="1452"/>
      <c r="H3" s="1452"/>
      <c r="I3" s="1452"/>
      <c r="J3" s="1452"/>
      <c r="K3" s="1452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43390</v>
      </c>
      <c r="G4" s="633">
        <v>41561</v>
      </c>
      <c r="H4" s="635">
        <f>Dates!A5</f>
        <v>43390</v>
      </c>
      <c r="I4" s="633">
        <v>41561</v>
      </c>
      <c r="J4" s="636">
        <f>Dates!A5</f>
        <v>43390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234</v>
      </c>
      <c r="H5" s="631" t="s">
        <v>55</v>
      </c>
      <c r="I5" s="631" t="s">
        <v>235</v>
      </c>
      <c r="J5" s="631" t="s">
        <v>29</v>
      </c>
      <c r="K5" s="631" t="s">
        <v>126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activeCell="F5" sqref="F5"/>
    </sheetView>
  </sheetViews>
  <sheetFormatPr defaultColWidth="12" defaultRowHeight="11.25" x14ac:dyDescent="0.2"/>
  <cols>
    <col min="1" max="2" width="6.83203125" style="75" customWidth="1"/>
    <col min="3" max="4" width="20.83203125" style="75" customWidth="1"/>
    <col min="5" max="5" width="7.83203125" style="75" customWidth="1"/>
    <col min="6" max="6" width="12.83203125" style="75" customWidth="1"/>
    <col min="7" max="7" width="8.83203125" style="75" customWidth="1"/>
    <col min="8" max="8" width="20.83203125" style="75" customWidth="1"/>
    <col min="9" max="14" width="9.83203125" style="75" customWidth="1"/>
    <col min="15" max="15" width="12.83203125" style="75" customWidth="1"/>
    <col min="16" max="16" width="9.83203125" style="75" customWidth="1"/>
    <col min="17" max="17" width="46.83203125" style="75" customWidth="1"/>
    <col min="18" max="16384" width="12" style="75"/>
  </cols>
  <sheetData>
    <row r="1" spans="1:17" ht="35.1" customHeight="1" thickBot="1" x14ac:dyDescent="0.25">
      <c r="A1" s="1453" t="s">
        <v>262</v>
      </c>
      <c r="B1" s="1454"/>
      <c r="C1" s="1454"/>
      <c r="D1" s="1454"/>
      <c r="E1" s="1454"/>
      <c r="F1" s="1454"/>
      <c r="G1" s="1454"/>
      <c r="H1" s="1454"/>
      <c r="I1" s="1454"/>
      <c r="J1" s="1454"/>
      <c r="K1" s="1454"/>
      <c r="L1" s="1454"/>
      <c r="M1" s="1454"/>
      <c r="N1" s="1454"/>
      <c r="O1" s="1455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78</v>
      </c>
      <c r="J2" s="91" t="s">
        <v>79</v>
      </c>
      <c r="K2" s="96" t="s">
        <v>80</v>
      </c>
      <c r="L2" s="91" t="s">
        <v>78</v>
      </c>
      <c r="M2" s="78" t="s">
        <v>81</v>
      </c>
      <c r="N2" s="91" t="s">
        <v>81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125</v>
      </c>
      <c r="E3" s="79" t="s">
        <v>82</v>
      </c>
      <c r="F3" s="95" t="s">
        <v>83</v>
      </c>
      <c r="G3" s="79" t="s">
        <v>20</v>
      </c>
      <c r="H3" s="90" t="s">
        <v>84</v>
      </c>
      <c r="I3" s="80" t="s">
        <v>85</v>
      </c>
      <c r="J3" s="89" t="s">
        <v>86</v>
      </c>
      <c r="K3" s="95" t="s">
        <v>87</v>
      </c>
      <c r="L3" s="89" t="s">
        <v>86</v>
      </c>
      <c r="M3" s="79" t="s">
        <v>88</v>
      </c>
      <c r="N3" s="89" t="s">
        <v>89</v>
      </c>
      <c r="O3" s="98" t="s">
        <v>90</v>
      </c>
      <c r="Q3" s="153" t="s">
        <v>126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2018-09-19T15:56:52Z</cp:lastPrinted>
  <dcterms:created xsi:type="dcterms:W3CDTF">1999-09-22T14:30:42Z</dcterms:created>
  <dcterms:modified xsi:type="dcterms:W3CDTF">2018-10-17T16:05:50Z</dcterms:modified>
</cp:coreProperties>
</file>